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 me" sheetId="1" state="visible" r:id="rId1"/>
    <sheet name="Draft" sheetId="2" state="visible" r:id="rId2"/>
    <sheet name="Board" sheetId="3" state="visible" r:id="rId3"/>
    <sheet name="Scarcity" sheetId="4" state="visible" r:id="rId4"/>
    <sheet name="Players" sheetId="5" state="visible" r:id="rId5"/>
    <sheet name="My team" sheetId="6" state="visible" r:id="rId6"/>
    <sheet name="Rosters" sheetId="7" state="visible" r:id="rId7"/>
    <sheet name="Standings" sheetId="8" state="visible" r:id="rId8"/>
    <sheet name="Strengths" sheetId="9" state="visible" r:id="rId9"/>
  </sheets>
  <definedNames>
    <definedName name="_xlnm._FilterDatabase" localSheetId="4" hidden="1">'Players'!$A$1:$X$301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+0%;-0%;0%"/>
    <numFmt numFmtId="165" formatCode="0.0"/>
  </numFmts>
  <fonts count="22">
    <font>
      <name val="Calibri"/>
      <family val="2"/>
      <color theme="1"/>
      <sz val="11"/>
      <scheme val="minor"/>
    </font>
    <font>
      <b val="1"/>
      <color rgb="FF14243A"/>
      <sz val="16"/>
    </font>
    <font>
      <color rgb="FF14243A"/>
      <sz val="11"/>
    </font>
    <font>
      <b val="1"/>
      <color rgb="FFFFFFFF"/>
      <sz val="10"/>
    </font>
    <font>
      <b val="1"/>
      <sz val="10"/>
    </font>
    <font>
      <i val="1"/>
      <color rgb="FF786F60"/>
      <sz val="10"/>
    </font>
    <font>
      <b val="1"/>
      <color rgb="FF14243A"/>
      <sz val="13"/>
    </font>
    <font>
      <b val="1"/>
      <color rgb="FF0E7AB5"/>
      <sz val="13"/>
    </font>
    <font>
      <b val="1"/>
    </font>
    <font>
      <b val="1"/>
      <color rgb="FF0E7AB5"/>
    </font>
    <font>
      <b val="1"/>
      <sz val="13"/>
    </font>
    <font>
      <b val="1"/>
      <color rgb="FFFFFFFF"/>
      <sz val="11"/>
    </font>
    <font>
      <color rgb="FF14243A"/>
    </font>
    <font>
      <b val="1"/>
      <color rgb="FF14243A"/>
      <sz val="14"/>
    </font>
    <font>
      <b val="1"/>
      <color rgb="FF786F60"/>
      <sz val="9"/>
    </font>
    <font>
      <b val="1"/>
      <color rgb="FF0E7AB5"/>
      <sz val="12"/>
    </font>
    <font>
      <color rgb="FF9A9182"/>
      <sz val="9"/>
    </font>
    <font>
      <b val="1"/>
      <color rgb="FF0E7AB5"/>
      <sz val="10"/>
    </font>
    <font>
      <color rgb="FF14243A"/>
      <sz val="10"/>
    </font>
    <font>
      <color rgb="FFCCCCCC"/>
      <sz val="8"/>
    </font>
    <font>
      <b val="1"/>
      <color rgb="FF14243A"/>
      <sz val="10"/>
    </font>
    <font>
      <sz val="10"/>
    </font>
  </fonts>
  <fills count="5">
    <fill>
      <patternFill/>
    </fill>
    <fill>
      <patternFill patternType="gray125"/>
    </fill>
    <fill>
      <patternFill patternType="solid">
        <fgColor rgb="FF1E3A5F"/>
      </patternFill>
    </fill>
    <fill>
      <patternFill patternType="solid">
        <fgColor rgb="FF0E7AB5"/>
      </patternFill>
    </fill>
    <fill>
      <patternFill patternType="solid">
        <fgColor rgb="FFEFE9DC"/>
      </patternFill>
    </fill>
  </fills>
  <borders count="2">
    <border>
      <left/>
      <right/>
      <top/>
      <bottom/>
      <diagonal/>
    </border>
    <border>
      <left style="thin">
        <color rgb="FFD9D3C7"/>
      </left>
      <right style="thin">
        <color rgb="FFD9D3C7"/>
      </right>
      <top style="thin">
        <color rgb="FFD9D3C7"/>
      </top>
      <bottom style="thin">
        <color rgb="FFD9D3C7"/>
      </bottom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0" borderId="0" applyAlignment="1" pivotButton="0" quotePrefix="0" xfId="0">
      <alignment vertical="top"/>
    </xf>
    <xf numFmtId="0" fontId="2" fillId="0" borderId="0" applyAlignment="1" pivotButton="0" quotePrefix="0" xfId="0">
      <alignment vertical="top"/>
    </xf>
    <xf numFmtId="0" fontId="13" fillId="0" borderId="0" pivotButton="0" quotePrefix="0" xfId="0"/>
    <xf numFmtId="0" fontId="14" fillId="0" borderId="0" pivotButton="0" quotePrefix="0" xfId="0"/>
    <xf numFmtId="0" fontId="15" fillId="4" borderId="1" applyAlignment="1" pivotButton="0" quotePrefix="0" xfId="0">
      <alignment horizontal="center"/>
    </xf>
    <xf numFmtId="0" fontId="7" fillId="4" borderId="1" applyAlignment="1" pivotButton="0" quotePrefix="0" xfId="0">
      <alignment horizontal="center"/>
    </xf>
    <xf numFmtId="0" fontId="3" fillId="2" borderId="1" applyAlignment="1" pivotButton="0" quotePrefix="0" xfId="0">
      <alignment horizontal="center"/>
    </xf>
    <xf numFmtId="0" fontId="19" fillId="0" borderId="0" pivotButton="0" quotePrefix="0" xfId="0"/>
    <xf numFmtId="0" fontId="16" fillId="0" borderId="0" pivotButton="0" quotePrefix="0" xfId="0"/>
    <xf numFmtId="0" fontId="17" fillId="0" borderId="0" pivotButton="0" quotePrefix="0" xfId="0"/>
    <xf numFmtId="0" fontId="0" fillId="4" borderId="1" pivotButton="0" quotePrefix="0" xfId="0"/>
    <xf numFmtId="9" fontId="0" fillId="0" borderId="0" pivotButton="0" quotePrefix="0" xfId="0"/>
    <xf numFmtId="2" fontId="0" fillId="0" borderId="0" pivotButton="0" quotePrefix="0" xfId="0"/>
    <xf numFmtId="1" fontId="0" fillId="0" borderId="0" pivotButton="0" quotePrefix="0" xfId="0"/>
    <xf numFmtId="165" fontId="0" fillId="0" borderId="0" pivotButton="0" quotePrefix="0" xfId="0"/>
    <xf numFmtId="0" fontId="4" fillId="0" borderId="0" pivotButton="0" quotePrefix="0" xfId="0"/>
    <xf numFmtId="0" fontId="9" fillId="0" borderId="0" applyAlignment="1" pivotButton="0" quotePrefix="0" xfId="0">
      <alignment horizontal="center"/>
    </xf>
    <xf numFmtId="0" fontId="18" fillId="0" borderId="0" pivotButton="0" quotePrefix="0" xfId="0"/>
    <xf numFmtId="0" fontId="0" fillId="0" borderId="1" pivotButton="0" quotePrefix="0" xfId="0"/>
    <xf numFmtId="0" fontId="20" fillId="0" borderId="0" pivotButton="0" quotePrefix="0" xfId="0"/>
    <xf numFmtId="0" fontId="21" fillId="0" borderId="0" pivotButton="0" quotePrefix="0" xfId="0"/>
    <xf numFmtId="0" fontId="3" fillId="3" borderId="1" applyAlignment="1" pivotButton="0" quotePrefix="0" xfId="0">
      <alignment horizontal="center" wrapText="1"/>
    </xf>
    <xf numFmtId="0" fontId="3" fillId="2" borderId="1" applyAlignment="1" pivotButton="0" quotePrefix="0" xfId="0">
      <alignment horizontal="center" wrapText="1"/>
    </xf>
    <xf numFmtId="0" fontId="0" fillId="4" borderId="1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5" fillId="0" borderId="0" pivotButton="0" quotePrefix="0" xfId="0"/>
    <xf numFmtId="0" fontId="6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8" fillId="0" borderId="0" pivotButton="0" quotePrefix="0" xfId="0"/>
    <xf numFmtId="0" fontId="7" fillId="0" borderId="0" pivotButton="0" quotePrefix="0" xfId="0"/>
    <xf numFmtId="0" fontId="9" fillId="0" borderId="0" pivotButton="0" quotePrefix="0" xfId="0"/>
    <xf numFmtId="0" fontId="11" fillId="3" borderId="0" pivotButton="0" quotePrefix="0" xfId="0"/>
    <xf numFmtId="165" fontId="9" fillId="0" borderId="0" pivotButton="0" quotePrefix="0" xfId="0"/>
    <xf numFmtId="0" fontId="11" fillId="2" borderId="0" pivotButton="0" quotePrefix="0" xfId="0"/>
    <xf numFmtId="0" fontId="0" fillId="0" borderId="0" applyAlignment="1" pivotButton="0" quotePrefix="0" xfId="0">
      <alignment horizontal="center"/>
    </xf>
    <xf numFmtId="0" fontId="12" fillId="0" borderId="0" pivotButton="0" quotePrefix="0" xfId="0"/>
    <xf numFmtId="0" fontId="10" fillId="0" borderId="0" pivotButton="0" quotePrefix="0" xfId="0"/>
    <xf numFmtId="0" fontId="5" fillId="0" borderId="0" applyAlignment="1" pivotButton="0" quotePrefix="0" xfId="0">
      <alignment/>
    </xf>
    <xf numFmtId="164" fontId="0" fillId="0" borderId="0" pivotButton="0" quotePrefix="0" xfId="0"/>
  </cellXfs>
  <cellStyles count="1">
    <cellStyle name="Normal" xfId="0" builtinId="0" hidden="0"/>
  </cellStyles>
  <dxfs count="10">
    <dxf>
      <fill>
        <patternFill patternType="solid">
          <fgColor rgb="FFFFF2CC"/>
        </patternFill>
      </fill>
    </dxf>
    <dxf>
      <font>
        <b val="1"/>
      </font>
      <fill>
        <patternFill patternType="solid">
          <fgColor rgb="FFB7D7A8"/>
        </patternFill>
      </fill>
    </dxf>
    <dxf>
      <fill>
        <patternFill patternType="solid">
          <fgColor rgb="FFE8F1DC"/>
        </patternFill>
      </fill>
    </dxf>
    <dxf>
      <fill>
        <patternFill patternType="solid">
          <fgColor rgb="FFDCE9F7"/>
        </patternFill>
      </fill>
    </dxf>
    <dxf>
      <fill>
        <patternFill patternType="solid">
          <fgColor rgb="FFE2F0DA"/>
        </patternFill>
      </fill>
    </dxf>
    <dxf>
      <fill>
        <patternFill patternType="solid">
          <fgColor rgb="FFFBE7D6"/>
        </patternFill>
      </fill>
    </dxf>
    <dxf>
      <fill>
        <patternFill patternType="solid">
          <fgColor rgb="FFEDE3F5"/>
        </patternFill>
      </fill>
    </dxf>
    <dxf>
      <fill>
        <patternFill patternType="solid">
          <fgColor rgb="FFF7E9EE"/>
        </patternFill>
      </fill>
    </dxf>
    <dxf>
      <fill>
        <patternFill patternType="solid">
          <fgColor rgb="FFF6D9A0"/>
        </patternFill>
      </fill>
    </dxf>
    <dxf>
      <font>
        <strike val="1"/>
        <color rgb="FF9A9182"/>
      </font>
      <fill>
        <patternFill patternType="solid">
          <fgColor rgb="FFF0F0F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32"/>
  <sheetViews>
    <sheetView workbookViewId="0">
      <selection activeCell="A1" sqref="A1"/>
    </sheetView>
  </sheetViews>
  <sheetFormatPr baseColWidth="8" defaultRowHeight="15"/>
  <cols>
    <col width="104" customWidth="1" min="1" max="1"/>
  </cols>
  <sheetData>
    <row r="1">
      <c r="A1" s="1" t="inlineStr">
        <is>
          <t>Kodo draft kit</t>
        </is>
      </c>
    </row>
    <row r="2">
      <c r="A2" s="2" t="inlineStr"/>
    </row>
    <row r="3">
      <c r="A3" s="2" t="inlineStr">
        <is>
          <t>Open the Draft sheet and stay there. Type each pick into column C as it happens —</t>
        </is>
      </c>
    </row>
    <row r="4">
      <c r="A4" s="2" t="inlineStr">
        <is>
          <t>the dropdown offers every player, and Excel autocompletes as you type. Everything</t>
        </is>
      </c>
    </row>
    <row r="5">
      <c r="A5" s="2" t="inlineStr">
        <is>
          <t>on the sheet updates itself: who is on the clock, the best men still available,</t>
        </is>
      </c>
    </row>
    <row r="6">
      <c r="A6" s="2" t="inlineStr">
        <is>
          <t>the ledger of what is running out, and your own roster as your turns come up.</t>
        </is>
      </c>
    </row>
    <row r="7">
      <c r="A7" s="2" t="inlineStr"/>
    </row>
    <row r="8">
      <c r="A8" s="2" t="inlineStr">
        <is>
          <t>Drafted players vanish from the available list the moment they are entered, and go</t>
        </is>
      </c>
    </row>
    <row r="9">
      <c r="A9" s="2" t="inlineStr">
        <is>
          <t>grey and struck through on the Players sheet. To hide them there too: filter the</t>
        </is>
      </c>
    </row>
    <row r="10">
      <c r="A10" s="2" t="inlineStr">
        <is>
          <t>Gone column, untick 1.</t>
        </is>
      </c>
    </row>
    <row r="11">
      <c r="A11" s="2" t="inlineStr"/>
    </row>
    <row r="12">
      <c r="A12" s="2" t="inlineStr">
        <is>
          <t>Draft       the one sheet for the night: pick entry, the clock, the top 300 still</t>
        </is>
      </c>
    </row>
    <row r="13">
      <c r="A13" s="2" t="inlineStr">
        <is>
          <t xml:space="preserve">            available, the ledger, best-left-by-position and your roster, all live.</t>
        </is>
      </c>
    </row>
    <row r="14">
      <c r="A14" s="2" t="inlineStr"/>
    </row>
    <row r="15">
      <c r="A15" s="2" t="inlineStr">
        <is>
          <t xml:space="preserve">            Next / After are the odds a man is still there at your next turn and</t>
        </is>
      </c>
    </row>
    <row r="16">
      <c r="A16" s="2" t="inlineStr">
        <is>
          <t xml:space="preserve">            the one after. They are a curve fitted to how far a room drifts from</t>
        </is>
      </c>
    </row>
    <row r="17">
      <c r="A17" s="2" t="inlineStr">
        <is>
          <t xml:space="preserve">            value order, not a simulation — the mock draft on the site runs the</t>
        </is>
      </c>
    </row>
    <row r="18">
      <c r="A18" s="2" t="inlineStr">
        <is>
          <t xml:space="preserve">            real thing against bots. Treat them as a steer, not a number.</t>
        </is>
      </c>
    </row>
    <row r="19">
      <c r="A19" s="2" t="inlineStr">
        <is>
          <t>Board       the grid, filled from the Draft sheet. Your column is highlighted.</t>
        </is>
      </c>
    </row>
    <row r="20">
      <c r="A20" s="2" t="inlineStr">
        <is>
          <t>Players     the whole pool with the projection behind it. 'Gone' and 'Taken by'</t>
        </is>
      </c>
    </row>
    <row r="21">
      <c r="A21" s="2" t="inlineStr">
        <is>
          <t xml:space="preserve">            fill in from the Draft sheet.</t>
        </is>
      </c>
    </row>
    <row r="22">
      <c r="A22" s="2" t="inlineStr">
        <is>
          <t>Scarcity    replacement level per position, the cliff below the best man left, and</t>
        </is>
      </c>
    </row>
    <row r="23">
      <c r="A23" s="2" t="inlineStr">
        <is>
          <t xml:space="preserve">            how many are gone. VORP is scored against this.</t>
        </is>
      </c>
    </row>
    <row r="24">
      <c r="A24" s="2" t="inlineStr">
        <is>
          <t>Rosters     every team's roster, with category totals per team.</t>
        </is>
      </c>
    </row>
    <row r="25">
      <c r="A25" s="2" t="inlineStr">
        <is>
          <t>Standings   those totals ranked, plus the roster shape behind them.</t>
        </is>
      </c>
    </row>
    <row r="26">
      <c r="A26" s="2" t="inlineStr">
        <is>
          <t>My team     your roster and your running category totals.</t>
        </is>
      </c>
    </row>
    <row r="27">
      <c r="A27" s="2" t="inlineStr">
        <is>
          <t>Strengths   your totals against par, pro-rated to the picks you have made.</t>
        </is>
      </c>
    </row>
    <row r="28">
      <c r="A28" s="2" t="inlineStr"/>
    </row>
    <row r="29">
      <c r="A29" s="2" t="inlineStr">
        <is>
          <t>No internet needed once the file is open. Nothing here calls home.</t>
        </is>
      </c>
    </row>
    <row r="30">
      <c r="A30" s="2" t="inlineStr"/>
    </row>
    <row r="31">
      <c r="A31" s="2" t="inlineStr">
        <is>
          <t>Pool ranked for: Categories. Categories counted: G, A, PPP, SOG, HIT, BLK</t>
        </is>
      </c>
    </row>
    <row r="32">
      <c r="A32" s="2" t="inlineStr">
        <is>
          <t>Projections are Kodo's 2026-27 model. A projection is the middle of a range, not a promise.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E304"/>
  <sheetViews>
    <sheetView workbookViewId="0">
      <pane xSplit="4" ySplit="4" topLeftCell="E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6" customWidth="1" min="1" max="1"/>
    <col width="10" customWidth="1" min="2" max="2"/>
    <col width="20" customWidth="1" min="3" max="3"/>
    <col width="2" customWidth="1" min="4" max="4"/>
    <col width="4" customWidth="1" min="5" max="5"/>
    <col width="22" customWidth="1" min="6" max="6"/>
    <col width="5" customWidth="1" min="7" max="7"/>
    <col width="5" customWidth="1" min="8" max="8"/>
    <col width="6" customWidth="1" min="9" max="9"/>
    <col width="6" customWidth="1" min="10" max="10"/>
    <col width="7" customWidth="1" min="11" max="11"/>
    <col width="7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  <col width="6" customWidth="1" min="22" max="22"/>
    <col width="6" customWidth="1" min="23" max="23"/>
    <col width="6" customWidth="1" min="24" max="24"/>
    <col width="6" customWidth="1" min="25" max="25"/>
    <col width="2" customWidth="1" min="26" max="26"/>
    <col width="18" customWidth="1" min="27" max="27"/>
    <col width="6" customWidth="1" min="28" max="28"/>
    <col width="8" customWidth="1" min="29" max="29"/>
    <col hidden="1" width="13" customWidth="1" min="31" max="31"/>
  </cols>
  <sheetData>
    <row r="1">
      <c r="A1" s="3" t="inlineStr">
        <is>
          <t>Draft</t>
        </is>
      </c>
    </row>
    <row r="2">
      <c r="A2" s="4" t="inlineStr">
        <is>
          <t>PICK</t>
        </is>
      </c>
      <c r="B2" s="4" t="inlineStr">
        <is>
          <t>RD</t>
        </is>
      </c>
      <c r="C2" s="4" t="inlineStr">
        <is>
          <t>IN RD</t>
        </is>
      </c>
      <c r="F2" s="4" t="inlineStr">
        <is>
          <t>ON THE CLOCK</t>
        </is>
      </c>
      <c r="H2" s="4" t="inlineStr">
        <is>
          <t>TYPE AT</t>
        </is>
      </c>
    </row>
    <row r="3">
      <c r="A3" s="5">
        <f>MIN(COUNTA(Draft!$C$5:$C$196)+1,192)</f>
        <v/>
      </c>
      <c r="B3" s="5">
        <f>INT((MIN(COUNTA(Draft!$C$5:$C$196),191))/12)+1</f>
        <v/>
      </c>
      <c r="C3" s="5">
        <f>MOD(MIN(COUNTA(Draft!$C$5:$C$196),191),12)+1</f>
        <v/>
      </c>
      <c r="F3" s="6">
        <f>IF(COUNTA(Draft!$C$5:$C$196)&gt;=192,"draft complete",INDEX(Draft!$B$5:$B$196,MIN(COUNTA(Draft!$C$5:$C$196)+1,192)))</f>
        <v/>
      </c>
      <c r="H3" s="5">
        <f>IF(COUNTA(Draft!$C$5:$C$196)&gt;=192,"—","row "&amp;(5+COUNTA(Draft!$C$5:$C$196)))</f>
        <v/>
      </c>
    </row>
    <row r="4">
      <c r="A4" s="7" t="inlineStr">
        <is>
          <t>Pick</t>
        </is>
      </c>
      <c r="B4" s="7" t="inlineStr">
        <is>
          <t>Team</t>
        </is>
      </c>
      <c r="C4" s="7" t="inlineStr">
        <is>
          <t>Take →</t>
        </is>
      </c>
      <c r="E4" s="7" t="inlineStr">
        <is>
          <t>#</t>
        </is>
      </c>
      <c r="F4" s="7" t="inlineStr">
        <is>
          <t>Player</t>
        </is>
      </c>
      <c r="G4" s="7" t="inlineStr">
        <is>
          <t>Pos</t>
        </is>
      </c>
      <c r="H4" s="7" t="inlineStr">
        <is>
          <t>Tm</t>
        </is>
      </c>
      <c r="I4" s="7" t="inlineStr">
        <is>
          <t>Next</t>
        </is>
      </c>
      <c r="J4" s="7" t="inlineStr">
        <is>
          <t>After</t>
        </is>
      </c>
      <c r="K4" s="7" t="inlineStr">
        <is>
          <t>Value</t>
        </is>
      </c>
      <c r="L4" s="7" t="inlineStr">
        <is>
          <t>VORP</t>
        </is>
      </c>
      <c r="M4" s="7" t="inlineStr">
        <is>
          <t>Upside</t>
        </is>
      </c>
      <c r="N4" s="7" t="inlineStr">
        <is>
          <t>GP</t>
        </is>
      </c>
      <c r="O4" s="7" t="inlineStr">
        <is>
          <t>TOI</t>
        </is>
      </c>
      <c r="P4" s="7" t="inlineStr">
        <is>
          <t>ES</t>
        </is>
      </c>
      <c r="Q4" s="7" t="inlineStr">
        <is>
          <t>PP</t>
        </is>
      </c>
      <c r="R4" s="7" t="inlineStr">
        <is>
          <t>SH</t>
        </is>
      </c>
      <c r="S4" s="7" t="inlineStr">
        <is>
          <t>Light</t>
        </is>
      </c>
      <c r="T4" s="7" t="inlineStr">
        <is>
          <t>G</t>
        </is>
      </c>
      <c r="U4" s="7" t="inlineStr">
        <is>
          <t>A</t>
        </is>
      </c>
      <c r="V4" s="7" t="inlineStr">
        <is>
          <t>PPP</t>
        </is>
      </c>
      <c r="W4" s="7" t="inlineStr">
        <is>
          <t>SOG</t>
        </is>
      </c>
      <c r="X4" s="7" t="inlineStr">
        <is>
          <t>HIT</t>
        </is>
      </c>
      <c r="Y4" s="7" t="inlineStr">
        <is>
          <t>BLK</t>
        </is>
      </c>
      <c r="AA4" s="7" t="inlineStr">
        <is>
          <t>Ledger — what's left</t>
        </is>
      </c>
      <c r="AB4" s="7" t="inlineStr">
        <is>
          <t>Left</t>
        </is>
      </c>
      <c r="AC4" s="7" t="inlineStr">
        <is>
          <t>Need</t>
        </is>
      </c>
      <c r="AE4" s="8" t="inlineStr">
        <is>
          <t>ptr</t>
        </is>
      </c>
    </row>
    <row r="5">
      <c r="A5" s="9" t="inlineStr">
        <is>
          <t>1.01</t>
        </is>
      </c>
      <c r="B5" s="10" t="inlineStr">
        <is>
          <t>Team 1</t>
        </is>
      </c>
      <c r="C5" s="11" t="n"/>
      <c r="E5" s="9" t="n">
        <v>1</v>
      </c>
      <c r="F5">
        <f>IF($AE5="","",IFERROR(INDEX(Players!$B$2:$B$301,$AE5),""))</f>
        <v/>
      </c>
      <c r="G5">
        <f>IF($AE5="","",IFERROR(INDEX(Players!$D$2:$D$301,$AE5),""))</f>
        <v/>
      </c>
      <c r="H5">
        <f>IF($AE5="","",IFERROR(INDEX(Players!$C$2:$C$301,$AE5),""))</f>
        <v/>
      </c>
      <c r="I5" s="12">
        <f>IF($AE5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+0.5)/3.5))))</f>
        <v/>
      </c>
      <c r="J5" s="12">
        <f>IF($AE5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+0.5)/3.5))))</f>
        <v/>
      </c>
      <c r="K5" s="13">
        <f>IF($AE5="","",IFERROR(INDEX(Players!$U$2:$U$301,$AE5),""))</f>
        <v/>
      </c>
      <c r="L5" s="13">
        <f>IF($AE5="","",IFERROR(INDEX(Players!$X$2:$X$301,$AE5),""))</f>
        <v/>
      </c>
      <c r="M5" s="14">
        <f>IF($AE5="","",IFERROR(INDEX(Players!$K$2:$K$301,$AE5),""))</f>
        <v/>
      </c>
      <c r="N5" s="14">
        <f>IF($AE5="","",IFERROR(INDEX(Players!$H$2:$H$301,$AE5),""))</f>
        <v/>
      </c>
      <c r="O5" s="15">
        <f>IF($AE5="","",IFERROR(INDEX(Players!$G$2:$G$301,$AE5),""))</f>
        <v/>
      </c>
      <c r="P5" s="14">
        <f>IF($AE5="","",IFERROR(INDEX(Players!$I$2:$I$301,$AE5),""))</f>
        <v/>
      </c>
      <c r="Q5" s="14">
        <f>IF($AE5="","",IFERROR(INDEX(Players!$F$2:$F$301,$AE5),""))</f>
        <v/>
      </c>
      <c r="R5" s="14">
        <f>IF($AE5="","",IFERROR(INDEX(Players!$J$2:$J$301,$AE5),""))</f>
        <v/>
      </c>
      <c r="S5" s="15">
        <f>IF($AE5="","",IFERROR(INDEX(Players!$L$2:$L$301,$AE5),""))</f>
        <v/>
      </c>
      <c r="T5" s="14">
        <f>IF($AE5="","",IFERROR(INDEX(Players!$M$2:$M$301,$AE5),""))</f>
        <v/>
      </c>
      <c r="U5" s="14">
        <f>IF($AE5="","",IFERROR(INDEX(Players!$N$2:$N$301,$AE5),""))</f>
        <v/>
      </c>
      <c r="V5" s="14">
        <f>IF($AE5="","",IFERROR(INDEX(Players!$O$2:$O$301,$AE5),""))</f>
        <v/>
      </c>
      <c r="W5" s="14">
        <f>IF($AE5="","",IFERROR(INDEX(Players!$P$2:$P$301,$AE5),""))</f>
        <v/>
      </c>
      <c r="X5" s="14">
        <f>IF($AE5="","",IFERROR(INDEX(Players!$Q$2:$Q$301,$AE5),""))</f>
        <v/>
      </c>
      <c r="Y5" s="14">
        <f>IF($AE5="","",IFERROR(INDEX(Players!$R$2:$R$301,$AE5),""))</f>
        <v/>
      </c>
      <c r="AA5" s="16" t="inlineStr">
        <is>
          <t>Centre</t>
        </is>
      </c>
      <c r="AB5" s="17">
        <f>SUMPRODUCT((Players!$D$2:$D$301="C")*(Players!$S$2:$S$301=0))</f>
        <v/>
      </c>
      <c r="AC5" s="9" t="n">
        <v>2</v>
      </c>
      <c r="AE5">
        <f>IFERROR(MATCH(LARGE(Players!$V$2:$V$301,1),Players!$V$2:$V$301,0),"")</f>
        <v/>
      </c>
    </row>
    <row r="6">
      <c r="A6" s="9" t="inlineStr">
        <is>
          <t>1.02</t>
        </is>
      </c>
      <c r="B6" s="18" t="inlineStr">
        <is>
          <t>Team 2</t>
        </is>
      </c>
      <c r="C6" s="19" t="n"/>
      <c r="E6" s="9" t="n">
        <v>2</v>
      </c>
      <c r="F6">
        <f>IF($AE6="","",IFERROR(INDEX(Players!$B$2:$B$301,$AE6),""))</f>
        <v/>
      </c>
      <c r="G6">
        <f>IF($AE6="","",IFERROR(INDEX(Players!$D$2:$D$301,$AE6),""))</f>
        <v/>
      </c>
      <c r="H6">
        <f>IF($AE6="","",IFERROR(INDEX(Players!$C$2:$C$301,$AE6),""))</f>
        <v/>
      </c>
      <c r="I6" s="12">
        <f>IF($AE6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+0.5)/3.5))))</f>
        <v/>
      </c>
      <c r="J6" s="12">
        <f>IF($AE6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+0.5)/3.5))))</f>
        <v/>
      </c>
      <c r="K6" s="13">
        <f>IF($AE6="","",IFERROR(INDEX(Players!$U$2:$U$301,$AE6),""))</f>
        <v/>
      </c>
      <c r="L6" s="13">
        <f>IF($AE6="","",IFERROR(INDEX(Players!$X$2:$X$301,$AE6),""))</f>
        <v/>
      </c>
      <c r="M6" s="14">
        <f>IF($AE6="","",IFERROR(INDEX(Players!$K$2:$K$301,$AE6),""))</f>
        <v/>
      </c>
      <c r="N6" s="14">
        <f>IF($AE6="","",IFERROR(INDEX(Players!$H$2:$H$301,$AE6),""))</f>
        <v/>
      </c>
      <c r="O6" s="15">
        <f>IF($AE6="","",IFERROR(INDEX(Players!$G$2:$G$301,$AE6),""))</f>
        <v/>
      </c>
      <c r="P6" s="14">
        <f>IF($AE6="","",IFERROR(INDEX(Players!$I$2:$I$301,$AE6),""))</f>
        <v/>
      </c>
      <c r="Q6" s="14">
        <f>IF($AE6="","",IFERROR(INDEX(Players!$F$2:$F$301,$AE6),""))</f>
        <v/>
      </c>
      <c r="R6" s="14">
        <f>IF($AE6="","",IFERROR(INDEX(Players!$J$2:$J$301,$AE6),""))</f>
        <v/>
      </c>
      <c r="S6" s="15">
        <f>IF($AE6="","",IFERROR(INDEX(Players!$L$2:$L$301,$AE6),""))</f>
        <v/>
      </c>
      <c r="T6" s="14">
        <f>IF($AE6="","",IFERROR(INDEX(Players!$M$2:$M$301,$AE6),""))</f>
        <v/>
      </c>
      <c r="U6" s="14">
        <f>IF($AE6="","",IFERROR(INDEX(Players!$N$2:$N$301,$AE6),""))</f>
        <v/>
      </c>
      <c r="V6" s="14">
        <f>IF($AE6="","",IFERROR(INDEX(Players!$O$2:$O$301,$AE6),""))</f>
        <v/>
      </c>
      <c r="W6" s="14">
        <f>IF($AE6="","",IFERROR(INDEX(Players!$P$2:$P$301,$AE6),""))</f>
        <v/>
      </c>
      <c r="X6" s="14">
        <f>IF($AE6="","",IFERROR(INDEX(Players!$Q$2:$Q$301,$AE6),""))</f>
        <v/>
      </c>
      <c r="Y6" s="14">
        <f>IF($AE6="","",IFERROR(INDEX(Players!$R$2:$R$301,$AE6),""))</f>
        <v/>
      </c>
      <c r="AA6" s="16" t="inlineStr">
        <is>
          <t>Left wing</t>
        </is>
      </c>
      <c r="AB6" s="17">
        <f>SUMPRODUCT((Players!$D$2:$D$301="L")*(Players!$S$2:$S$301=0))</f>
        <v/>
      </c>
      <c r="AC6" s="9" t="n">
        <v>2</v>
      </c>
      <c r="AE6">
        <f>IFERROR(MATCH(LARGE(Players!$V$2:$V$301,2),Players!$V$2:$V$301,0),"")</f>
        <v/>
      </c>
    </row>
    <row r="7">
      <c r="A7" s="9" t="inlineStr">
        <is>
          <t>1.03</t>
        </is>
      </c>
      <c r="B7" s="18" t="inlineStr">
        <is>
          <t>Team 3</t>
        </is>
      </c>
      <c r="C7" s="19" t="n"/>
      <c r="E7" s="9" t="n">
        <v>3</v>
      </c>
      <c r="F7">
        <f>IF($AE7="","",IFERROR(INDEX(Players!$B$2:$B$301,$AE7),""))</f>
        <v/>
      </c>
      <c r="G7">
        <f>IF($AE7="","",IFERROR(INDEX(Players!$D$2:$D$301,$AE7),""))</f>
        <v/>
      </c>
      <c r="H7">
        <f>IF($AE7="","",IFERROR(INDEX(Players!$C$2:$C$301,$AE7),""))</f>
        <v/>
      </c>
      <c r="I7" s="12">
        <f>IF($AE7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-3+0.5)/3.5))))</f>
        <v/>
      </c>
      <c r="J7" s="12">
        <f>IF($AE7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-3+0.5)/3.5))))</f>
        <v/>
      </c>
      <c r="K7" s="13">
        <f>IF($AE7="","",IFERROR(INDEX(Players!$U$2:$U$301,$AE7),""))</f>
        <v/>
      </c>
      <c r="L7" s="13">
        <f>IF($AE7="","",IFERROR(INDEX(Players!$X$2:$X$301,$AE7),""))</f>
        <v/>
      </c>
      <c r="M7" s="14">
        <f>IF($AE7="","",IFERROR(INDEX(Players!$K$2:$K$301,$AE7),""))</f>
        <v/>
      </c>
      <c r="N7" s="14">
        <f>IF($AE7="","",IFERROR(INDEX(Players!$H$2:$H$301,$AE7),""))</f>
        <v/>
      </c>
      <c r="O7" s="15">
        <f>IF($AE7="","",IFERROR(INDEX(Players!$G$2:$G$301,$AE7),""))</f>
        <v/>
      </c>
      <c r="P7" s="14">
        <f>IF($AE7="","",IFERROR(INDEX(Players!$I$2:$I$301,$AE7),""))</f>
        <v/>
      </c>
      <c r="Q7" s="14">
        <f>IF($AE7="","",IFERROR(INDEX(Players!$F$2:$F$301,$AE7),""))</f>
        <v/>
      </c>
      <c r="R7" s="14">
        <f>IF($AE7="","",IFERROR(INDEX(Players!$J$2:$J$301,$AE7),""))</f>
        <v/>
      </c>
      <c r="S7" s="15">
        <f>IF($AE7="","",IFERROR(INDEX(Players!$L$2:$L$301,$AE7),""))</f>
        <v/>
      </c>
      <c r="T7" s="14">
        <f>IF($AE7="","",IFERROR(INDEX(Players!$M$2:$M$301,$AE7),""))</f>
        <v/>
      </c>
      <c r="U7" s="14">
        <f>IF($AE7="","",IFERROR(INDEX(Players!$N$2:$N$301,$AE7),""))</f>
        <v/>
      </c>
      <c r="V7" s="14">
        <f>IF($AE7="","",IFERROR(INDEX(Players!$O$2:$O$301,$AE7),""))</f>
        <v/>
      </c>
      <c r="W7" s="14">
        <f>IF($AE7="","",IFERROR(INDEX(Players!$P$2:$P$301,$AE7),""))</f>
        <v/>
      </c>
      <c r="X7" s="14">
        <f>IF($AE7="","",IFERROR(INDEX(Players!$Q$2:$Q$301,$AE7),""))</f>
        <v/>
      </c>
      <c r="Y7" s="14">
        <f>IF($AE7="","",IFERROR(INDEX(Players!$R$2:$R$301,$AE7),""))</f>
        <v/>
      </c>
      <c r="AA7" s="16" t="inlineStr">
        <is>
          <t>Right wing</t>
        </is>
      </c>
      <c r="AB7" s="17">
        <f>SUMPRODUCT((Players!$D$2:$D$301="R")*(Players!$S$2:$S$301=0))</f>
        <v/>
      </c>
      <c r="AC7" s="9" t="n">
        <v>2</v>
      </c>
      <c r="AE7">
        <f>IFERROR(MATCH(LARGE(Players!$V$2:$V$301,3),Players!$V$2:$V$301,0),"")</f>
        <v/>
      </c>
    </row>
    <row r="8">
      <c r="A8" s="9" t="inlineStr">
        <is>
          <t>1.04</t>
        </is>
      </c>
      <c r="B8" s="18" t="inlineStr">
        <is>
          <t>Team 4</t>
        </is>
      </c>
      <c r="C8" s="19" t="n"/>
      <c r="E8" s="9" t="n">
        <v>4</v>
      </c>
      <c r="F8">
        <f>IF($AE8="","",IFERROR(INDEX(Players!$B$2:$B$301,$AE8),""))</f>
        <v/>
      </c>
      <c r="G8">
        <f>IF($AE8="","",IFERROR(INDEX(Players!$D$2:$D$301,$AE8),""))</f>
        <v/>
      </c>
      <c r="H8">
        <f>IF($AE8="","",IFERROR(INDEX(Players!$C$2:$C$301,$AE8),""))</f>
        <v/>
      </c>
      <c r="I8" s="12">
        <f>IF($AE8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-4+0.5)/3.5))))</f>
        <v/>
      </c>
      <c r="J8" s="12">
        <f>IF($AE8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-4+0.5)/3.5))))</f>
        <v/>
      </c>
      <c r="K8" s="13">
        <f>IF($AE8="","",IFERROR(INDEX(Players!$U$2:$U$301,$AE8),""))</f>
        <v/>
      </c>
      <c r="L8" s="13">
        <f>IF($AE8="","",IFERROR(INDEX(Players!$X$2:$X$301,$AE8),""))</f>
        <v/>
      </c>
      <c r="M8" s="14">
        <f>IF($AE8="","",IFERROR(INDEX(Players!$K$2:$K$301,$AE8),""))</f>
        <v/>
      </c>
      <c r="N8" s="14">
        <f>IF($AE8="","",IFERROR(INDEX(Players!$H$2:$H$301,$AE8),""))</f>
        <v/>
      </c>
      <c r="O8" s="15">
        <f>IF($AE8="","",IFERROR(INDEX(Players!$G$2:$G$301,$AE8),""))</f>
        <v/>
      </c>
      <c r="P8" s="14">
        <f>IF($AE8="","",IFERROR(INDEX(Players!$I$2:$I$301,$AE8),""))</f>
        <v/>
      </c>
      <c r="Q8" s="14">
        <f>IF($AE8="","",IFERROR(INDEX(Players!$F$2:$F$301,$AE8),""))</f>
        <v/>
      </c>
      <c r="R8" s="14">
        <f>IF($AE8="","",IFERROR(INDEX(Players!$J$2:$J$301,$AE8),""))</f>
        <v/>
      </c>
      <c r="S8" s="15">
        <f>IF($AE8="","",IFERROR(INDEX(Players!$L$2:$L$301,$AE8),""))</f>
        <v/>
      </c>
      <c r="T8" s="14">
        <f>IF($AE8="","",IFERROR(INDEX(Players!$M$2:$M$301,$AE8),""))</f>
        <v/>
      </c>
      <c r="U8" s="14">
        <f>IF($AE8="","",IFERROR(INDEX(Players!$N$2:$N$301,$AE8),""))</f>
        <v/>
      </c>
      <c r="V8" s="14">
        <f>IF($AE8="","",IFERROR(INDEX(Players!$O$2:$O$301,$AE8),""))</f>
        <v/>
      </c>
      <c r="W8" s="14">
        <f>IF($AE8="","",IFERROR(INDEX(Players!$P$2:$P$301,$AE8),""))</f>
        <v/>
      </c>
      <c r="X8" s="14">
        <f>IF($AE8="","",IFERROR(INDEX(Players!$Q$2:$Q$301,$AE8),""))</f>
        <v/>
      </c>
      <c r="Y8" s="14">
        <f>IF($AE8="","",IFERROR(INDEX(Players!$R$2:$R$301,$AE8),""))</f>
        <v/>
      </c>
      <c r="AA8" s="16" t="inlineStr">
        <is>
          <t>Defence</t>
        </is>
      </c>
      <c r="AB8" s="17">
        <f>SUMPRODUCT((Players!$D$2:$D$301="D")*(Players!$S$2:$S$301=0))</f>
        <v/>
      </c>
      <c r="AC8" s="9" t="n">
        <v>4</v>
      </c>
      <c r="AE8">
        <f>IFERROR(MATCH(LARGE(Players!$V$2:$V$301,4),Players!$V$2:$V$301,0),"")</f>
        <v/>
      </c>
    </row>
    <row r="9">
      <c r="A9" s="9" t="inlineStr">
        <is>
          <t>1.05</t>
        </is>
      </c>
      <c r="B9" s="18" t="inlineStr">
        <is>
          <t>Team 5</t>
        </is>
      </c>
      <c r="C9" s="19" t="n"/>
      <c r="E9" s="9" t="n">
        <v>5</v>
      </c>
      <c r="F9">
        <f>IF($AE9="","",IFERROR(INDEX(Players!$B$2:$B$301,$AE9),""))</f>
        <v/>
      </c>
      <c r="G9">
        <f>IF($AE9="","",IFERROR(INDEX(Players!$D$2:$D$301,$AE9),""))</f>
        <v/>
      </c>
      <c r="H9">
        <f>IF($AE9="","",IFERROR(INDEX(Players!$C$2:$C$301,$AE9),""))</f>
        <v/>
      </c>
      <c r="I9" s="12">
        <f>IF($AE9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-5+0.5)/3.5))))</f>
        <v/>
      </c>
      <c r="J9" s="12">
        <f>IF($AE9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-5+0.5)/3.5))))</f>
        <v/>
      </c>
      <c r="K9" s="13">
        <f>IF($AE9="","",IFERROR(INDEX(Players!$U$2:$U$301,$AE9),""))</f>
        <v/>
      </c>
      <c r="L9" s="13">
        <f>IF($AE9="","",IFERROR(INDEX(Players!$X$2:$X$301,$AE9),""))</f>
        <v/>
      </c>
      <c r="M9" s="14">
        <f>IF($AE9="","",IFERROR(INDEX(Players!$K$2:$K$301,$AE9),""))</f>
        <v/>
      </c>
      <c r="N9" s="14">
        <f>IF($AE9="","",IFERROR(INDEX(Players!$H$2:$H$301,$AE9),""))</f>
        <v/>
      </c>
      <c r="O9" s="15">
        <f>IF($AE9="","",IFERROR(INDEX(Players!$G$2:$G$301,$AE9),""))</f>
        <v/>
      </c>
      <c r="P9" s="14">
        <f>IF($AE9="","",IFERROR(INDEX(Players!$I$2:$I$301,$AE9),""))</f>
        <v/>
      </c>
      <c r="Q9" s="14">
        <f>IF($AE9="","",IFERROR(INDEX(Players!$F$2:$F$301,$AE9),""))</f>
        <v/>
      </c>
      <c r="R9" s="14">
        <f>IF($AE9="","",IFERROR(INDEX(Players!$J$2:$J$301,$AE9),""))</f>
        <v/>
      </c>
      <c r="S9" s="15">
        <f>IF($AE9="","",IFERROR(INDEX(Players!$L$2:$L$301,$AE9),""))</f>
        <v/>
      </c>
      <c r="T9" s="14">
        <f>IF($AE9="","",IFERROR(INDEX(Players!$M$2:$M$301,$AE9),""))</f>
        <v/>
      </c>
      <c r="U9" s="14">
        <f>IF($AE9="","",IFERROR(INDEX(Players!$N$2:$N$301,$AE9),""))</f>
        <v/>
      </c>
      <c r="V9" s="14">
        <f>IF($AE9="","",IFERROR(INDEX(Players!$O$2:$O$301,$AE9),""))</f>
        <v/>
      </c>
      <c r="W9" s="14">
        <f>IF($AE9="","",IFERROR(INDEX(Players!$P$2:$P$301,$AE9),""))</f>
        <v/>
      </c>
      <c r="X9" s="14">
        <f>IF($AE9="","",IFERROR(INDEX(Players!$Q$2:$Q$301,$AE9),""))</f>
        <v/>
      </c>
      <c r="Y9" s="14">
        <f>IF($AE9="","",IFERROR(INDEX(Players!$R$2:$R$301,$AE9),""))</f>
        <v/>
      </c>
      <c r="AA9" s="16" t="inlineStr">
        <is>
          <t>Goalie</t>
        </is>
      </c>
      <c r="AB9" s="17">
        <f>SUMPRODUCT((Players!$D$2:$D$301="G")*(Players!$S$2:$S$301=0))</f>
        <v/>
      </c>
      <c r="AC9" s="9" t="n">
        <v>2</v>
      </c>
      <c r="AE9">
        <f>IFERROR(MATCH(LARGE(Players!$V$2:$V$301,5),Players!$V$2:$V$301,0),"")</f>
        <v/>
      </c>
    </row>
    <row r="10">
      <c r="A10" s="9" t="inlineStr">
        <is>
          <t>1.06</t>
        </is>
      </c>
      <c r="B10" s="18" t="inlineStr">
        <is>
          <t>Team 6</t>
        </is>
      </c>
      <c r="C10" s="19" t="n"/>
      <c r="E10" s="9" t="n">
        <v>6</v>
      </c>
      <c r="F10">
        <f>IF($AE10="","",IFERROR(INDEX(Players!$B$2:$B$301,$AE10),""))</f>
        <v/>
      </c>
      <c r="G10">
        <f>IF($AE10="","",IFERROR(INDEX(Players!$D$2:$D$301,$AE10),""))</f>
        <v/>
      </c>
      <c r="H10">
        <f>IF($AE10="","",IFERROR(INDEX(Players!$C$2:$C$301,$AE10),""))</f>
        <v/>
      </c>
      <c r="I10" s="12">
        <f>IF($AE10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-6+0.5)/3.5))))</f>
        <v/>
      </c>
      <c r="J10" s="12">
        <f>IF($AE10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-6+0.5)/3.5))))</f>
        <v/>
      </c>
      <c r="K10" s="13">
        <f>IF($AE10="","",IFERROR(INDEX(Players!$U$2:$U$301,$AE10),""))</f>
        <v/>
      </c>
      <c r="L10" s="13">
        <f>IF($AE10="","",IFERROR(INDEX(Players!$X$2:$X$301,$AE10),""))</f>
        <v/>
      </c>
      <c r="M10" s="14">
        <f>IF($AE10="","",IFERROR(INDEX(Players!$K$2:$K$301,$AE10),""))</f>
        <v/>
      </c>
      <c r="N10" s="14">
        <f>IF($AE10="","",IFERROR(INDEX(Players!$H$2:$H$301,$AE10),""))</f>
        <v/>
      </c>
      <c r="O10" s="15">
        <f>IF($AE10="","",IFERROR(INDEX(Players!$G$2:$G$301,$AE10),""))</f>
        <v/>
      </c>
      <c r="P10" s="14">
        <f>IF($AE10="","",IFERROR(INDEX(Players!$I$2:$I$301,$AE10),""))</f>
        <v/>
      </c>
      <c r="Q10" s="14">
        <f>IF($AE10="","",IFERROR(INDEX(Players!$F$2:$F$301,$AE10),""))</f>
        <v/>
      </c>
      <c r="R10" s="14">
        <f>IF($AE10="","",IFERROR(INDEX(Players!$J$2:$J$301,$AE10),""))</f>
        <v/>
      </c>
      <c r="S10" s="15">
        <f>IF($AE10="","",IFERROR(INDEX(Players!$L$2:$L$301,$AE10),""))</f>
        <v/>
      </c>
      <c r="T10" s="14">
        <f>IF($AE10="","",IFERROR(INDEX(Players!$M$2:$M$301,$AE10),""))</f>
        <v/>
      </c>
      <c r="U10" s="14">
        <f>IF($AE10="","",IFERROR(INDEX(Players!$N$2:$N$301,$AE10),""))</f>
        <v/>
      </c>
      <c r="V10" s="14">
        <f>IF($AE10="","",IFERROR(INDEX(Players!$O$2:$O$301,$AE10),""))</f>
        <v/>
      </c>
      <c r="W10" s="14">
        <f>IF($AE10="","",IFERROR(INDEX(Players!$P$2:$P$301,$AE10),""))</f>
        <v/>
      </c>
      <c r="X10" s="14">
        <f>IF($AE10="","",IFERROR(INDEX(Players!$Q$2:$Q$301,$AE10),""))</f>
        <v/>
      </c>
      <c r="Y10" s="14">
        <f>IF($AE10="","",IFERROR(INDEX(Players!$R$2:$R$301,$AE10),""))</f>
        <v/>
      </c>
      <c r="AA10" s="16" t="inlineStr">
        <is>
          <t>First-unit PP</t>
        </is>
      </c>
      <c r="AB10" s="17">
        <f>SUMPRODUCT((Players!$F$2:$F$301="PP1")*(Players!$S$2:$S$301=0))</f>
        <v/>
      </c>
      <c r="AE10">
        <f>IFERROR(MATCH(LARGE(Players!$V$2:$V$301,6),Players!$V$2:$V$301,0),"")</f>
        <v/>
      </c>
    </row>
    <row r="11">
      <c r="A11" s="9" t="inlineStr">
        <is>
          <t>1.07</t>
        </is>
      </c>
      <c r="B11" s="18" t="inlineStr">
        <is>
          <t>Team 7</t>
        </is>
      </c>
      <c r="C11" s="19" t="n"/>
      <c r="E11" s="9" t="n">
        <v>7</v>
      </c>
      <c r="F11">
        <f>IF($AE11="","",IFERROR(INDEX(Players!$B$2:$B$301,$AE11),""))</f>
        <v/>
      </c>
      <c r="G11">
        <f>IF($AE11="","",IFERROR(INDEX(Players!$D$2:$D$301,$AE11),""))</f>
        <v/>
      </c>
      <c r="H11">
        <f>IF($AE11="","",IFERROR(INDEX(Players!$C$2:$C$301,$AE11),""))</f>
        <v/>
      </c>
      <c r="I11" s="12">
        <f>IF($AE11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-7+0.5)/3.5))))</f>
        <v/>
      </c>
      <c r="J11" s="12">
        <f>IF($AE11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-7+0.5)/3.5))))</f>
        <v/>
      </c>
      <c r="K11" s="13">
        <f>IF($AE11="","",IFERROR(INDEX(Players!$U$2:$U$301,$AE11),""))</f>
        <v/>
      </c>
      <c r="L11" s="13">
        <f>IF($AE11="","",IFERROR(INDEX(Players!$X$2:$X$301,$AE11),""))</f>
        <v/>
      </c>
      <c r="M11" s="14">
        <f>IF($AE11="","",IFERROR(INDEX(Players!$K$2:$K$301,$AE11),""))</f>
        <v/>
      </c>
      <c r="N11" s="14">
        <f>IF($AE11="","",IFERROR(INDEX(Players!$H$2:$H$301,$AE11),""))</f>
        <v/>
      </c>
      <c r="O11" s="15">
        <f>IF($AE11="","",IFERROR(INDEX(Players!$G$2:$G$301,$AE11),""))</f>
        <v/>
      </c>
      <c r="P11" s="14">
        <f>IF($AE11="","",IFERROR(INDEX(Players!$I$2:$I$301,$AE11),""))</f>
        <v/>
      </c>
      <c r="Q11" s="14">
        <f>IF($AE11="","",IFERROR(INDEX(Players!$F$2:$F$301,$AE11),""))</f>
        <v/>
      </c>
      <c r="R11" s="14">
        <f>IF($AE11="","",IFERROR(INDEX(Players!$J$2:$J$301,$AE11),""))</f>
        <v/>
      </c>
      <c r="S11" s="15">
        <f>IF($AE11="","",IFERROR(INDEX(Players!$L$2:$L$301,$AE11),""))</f>
        <v/>
      </c>
      <c r="T11" s="14">
        <f>IF($AE11="","",IFERROR(INDEX(Players!$M$2:$M$301,$AE11),""))</f>
        <v/>
      </c>
      <c r="U11" s="14">
        <f>IF($AE11="","",IFERROR(INDEX(Players!$N$2:$N$301,$AE11),""))</f>
        <v/>
      </c>
      <c r="V11" s="14">
        <f>IF($AE11="","",IFERROR(INDEX(Players!$O$2:$O$301,$AE11),""))</f>
        <v/>
      </c>
      <c r="W11" s="14">
        <f>IF($AE11="","",IFERROR(INDEX(Players!$P$2:$P$301,$AE11),""))</f>
        <v/>
      </c>
      <c r="X11" s="14">
        <f>IF($AE11="","",IFERROR(INDEX(Players!$Q$2:$Q$301,$AE11),""))</f>
        <v/>
      </c>
      <c r="Y11" s="14">
        <f>IF($AE11="","",IFERROR(INDEX(Players!$R$2:$R$301,$AE11),""))</f>
        <v/>
      </c>
      <c r="AA11" s="16" t="inlineStr">
        <is>
          <t>First-line F</t>
        </is>
      </c>
      <c r="AB11" s="17">
        <f>SUMPRODUCT(((Players!$D$2:$D$301="C")+(Players!$D$2:$D$301="L")+(Players!$D$2:$D$301="R"))*(Players!$I$2:$I$301=1)*(Players!$S$2:$S$301=0))</f>
        <v/>
      </c>
      <c r="AE11">
        <f>IFERROR(MATCH(LARGE(Players!$V$2:$V$301,7),Players!$V$2:$V$301,0),"")</f>
        <v/>
      </c>
    </row>
    <row r="12">
      <c r="A12" s="9" t="inlineStr">
        <is>
          <t>1.08</t>
        </is>
      </c>
      <c r="B12" s="18" t="inlineStr">
        <is>
          <t>Team 8</t>
        </is>
      </c>
      <c r="C12" s="19" t="n"/>
      <c r="E12" s="9" t="n">
        <v>8</v>
      </c>
      <c r="F12">
        <f>IF($AE12="","",IFERROR(INDEX(Players!$B$2:$B$301,$AE12),""))</f>
        <v/>
      </c>
      <c r="G12">
        <f>IF($AE12="","",IFERROR(INDEX(Players!$D$2:$D$301,$AE12),""))</f>
        <v/>
      </c>
      <c r="H12">
        <f>IF($AE12="","",IFERROR(INDEX(Players!$C$2:$C$301,$AE12),""))</f>
        <v/>
      </c>
      <c r="I12" s="12">
        <f>IF($AE12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-8+0.5)/3.5))))</f>
        <v/>
      </c>
      <c r="J12" s="12">
        <f>IF($AE12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-8+0.5)/3.5))))</f>
        <v/>
      </c>
      <c r="K12" s="13">
        <f>IF($AE12="","",IFERROR(INDEX(Players!$U$2:$U$301,$AE12),""))</f>
        <v/>
      </c>
      <c r="L12" s="13">
        <f>IF($AE12="","",IFERROR(INDEX(Players!$X$2:$X$301,$AE12),""))</f>
        <v/>
      </c>
      <c r="M12" s="14">
        <f>IF($AE12="","",IFERROR(INDEX(Players!$K$2:$K$301,$AE12),""))</f>
        <v/>
      </c>
      <c r="N12" s="14">
        <f>IF($AE12="","",IFERROR(INDEX(Players!$H$2:$H$301,$AE12),""))</f>
        <v/>
      </c>
      <c r="O12" s="15">
        <f>IF($AE12="","",IFERROR(INDEX(Players!$G$2:$G$301,$AE12),""))</f>
        <v/>
      </c>
      <c r="P12" s="14">
        <f>IF($AE12="","",IFERROR(INDEX(Players!$I$2:$I$301,$AE12),""))</f>
        <v/>
      </c>
      <c r="Q12" s="14">
        <f>IF($AE12="","",IFERROR(INDEX(Players!$F$2:$F$301,$AE12),""))</f>
        <v/>
      </c>
      <c r="R12" s="14">
        <f>IF($AE12="","",IFERROR(INDEX(Players!$J$2:$J$301,$AE12),""))</f>
        <v/>
      </c>
      <c r="S12" s="15">
        <f>IF($AE12="","",IFERROR(INDEX(Players!$L$2:$L$301,$AE12),""))</f>
        <v/>
      </c>
      <c r="T12" s="14">
        <f>IF($AE12="","",IFERROR(INDEX(Players!$M$2:$M$301,$AE12),""))</f>
        <v/>
      </c>
      <c r="U12" s="14">
        <f>IF($AE12="","",IFERROR(INDEX(Players!$N$2:$N$301,$AE12),""))</f>
        <v/>
      </c>
      <c r="V12" s="14">
        <f>IF($AE12="","",IFERROR(INDEX(Players!$O$2:$O$301,$AE12),""))</f>
        <v/>
      </c>
      <c r="W12" s="14">
        <f>IF($AE12="","",IFERROR(INDEX(Players!$P$2:$P$301,$AE12),""))</f>
        <v/>
      </c>
      <c r="X12" s="14">
        <f>IF($AE12="","",IFERROR(INDEX(Players!$Q$2:$Q$301,$AE12),""))</f>
        <v/>
      </c>
      <c r="Y12" s="14">
        <f>IF($AE12="","",IFERROR(INDEX(Players!$R$2:$R$301,$AE12),""))</f>
        <v/>
      </c>
      <c r="AA12" s="16" t="inlineStr">
        <is>
          <t>Top-pair D</t>
        </is>
      </c>
      <c r="AB12" s="17">
        <f>SUMPRODUCT((Players!$D$2:$D$301="D")*(Players!$I$2:$I$301=1)*(Players!$S$2:$S$301=0))</f>
        <v/>
      </c>
      <c r="AE12">
        <f>IFERROR(MATCH(LARGE(Players!$V$2:$V$301,8),Players!$V$2:$V$301,0),"")</f>
        <v/>
      </c>
    </row>
    <row r="13">
      <c r="A13" s="9" t="inlineStr">
        <is>
          <t>1.09</t>
        </is>
      </c>
      <c r="B13" s="18" t="inlineStr">
        <is>
          <t>Team 9</t>
        </is>
      </c>
      <c r="C13" s="19" t="n"/>
      <c r="E13" s="9" t="n">
        <v>9</v>
      </c>
      <c r="F13">
        <f>IF($AE13="","",IFERROR(INDEX(Players!$B$2:$B$301,$AE13),""))</f>
        <v/>
      </c>
      <c r="G13">
        <f>IF($AE13="","",IFERROR(INDEX(Players!$D$2:$D$301,$AE13),""))</f>
        <v/>
      </c>
      <c r="H13">
        <f>IF($AE13="","",IFERROR(INDEX(Players!$C$2:$C$301,$AE13),""))</f>
        <v/>
      </c>
      <c r="I13" s="12">
        <f>IF($AE13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-9+0.5)/3.5))))</f>
        <v/>
      </c>
      <c r="J13" s="12">
        <f>IF($AE13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-9+0.5)/3.5))))</f>
        <v/>
      </c>
      <c r="K13" s="13">
        <f>IF($AE13="","",IFERROR(INDEX(Players!$U$2:$U$301,$AE13),""))</f>
        <v/>
      </c>
      <c r="L13" s="13">
        <f>IF($AE13="","",IFERROR(INDEX(Players!$X$2:$X$301,$AE13),""))</f>
        <v/>
      </c>
      <c r="M13" s="14">
        <f>IF($AE13="","",IFERROR(INDEX(Players!$K$2:$K$301,$AE13),""))</f>
        <v/>
      </c>
      <c r="N13" s="14">
        <f>IF($AE13="","",IFERROR(INDEX(Players!$H$2:$H$301,$AE13),""))</f>
        <v/>
      </c>
      <c r="O13" s="15">
        <f>IF($AE13="","",IFERROR(INDEX(Players!$G$2:$G$301,$AE13),""))</f>
        <v/>
      </c>
      <c r="P13" s="14">
        <f>IF($AE13="","",IFERROR(INDEX(Players!$I$2:$I$301,$AE13),""))</f>
        <v/>
      </c>
      <c r="Q13" s="14">
        <f>IF($AE13="","",IFERROR(INDEX(Players!$F$2:$F$301,$AE13),""))</f>
        <v/>
      </c>
      <c r="R13" s="14">
        <f>IF($AE13="","",IFERROR(INDEX(Players!$J$2:$J$301,$AE13),""))</f>
        <v/>
      </c>
      <c r="S13" s="15">
        <f>IF($AE13="","",IFERROR(INDEX(Players!$L$2:$L$301,$AE13),""))</f>
        <v/>
      </c>
      <c r="T13" s="14">
        <f>IF($AE13="","",IFERROR(INDEX(Players!$M$2:$M$301,$AE13),""))</f>
        <v/>
      </c>
      <c r="U13" s="14">
        <f>IF($AE13="","",IFERROR(INDEX(Players!$N$2:$N$301,$AE13),""))</f>
        <v/>
      </c>
      <c r="V13" s="14">
        <f>IF($AE13="","",IFERROR(INDEX(Players!$O$2:$O$301,$AE13),""))</f>
        <v/>
      </c>
      <c r="W13" s="14">
        <f>IF($AE13="","",IFERROR(INDEX(Players!$P$2:$P$301,$AE13),""))</f>
        <v/>
      </c>
      <c r="X13" s="14">
        <f>IF($AE13="","",IFERROR(INDEX(Players!$Q$2:$Q$301,$AE13),""))</f>
        <v/>
      </c>
      <c r="Y13" s="14">
        <f>IF($AE13="","",IFERROR(INDEX(Players!$R$2:$R$301,$AE13),""))</f>
        <v/>
      </c>
      <c r="AA13" s="16" t="inlineStr">
        <is>
          <t>Penalty kill</t>
        </is>
      </c>
      <c r="AB13" s="17">
        <f>SUMPRODUCT((Players!$J$2:$J$301&gt;=1)*(Players!$S$2:$S$301=0))</f>
        <v/>
      </c>
      <c r="AE13">
        <f>IFERROR(MATCH(LARGE(Players!$V$2:$V$301,9),Players!$V$2:$V$301,0),"")</f>
        <v/>
      </c>
    </row>
    <row r="14">
      <c r="A14" s="9" t="inlineStr">
        <is>
          <t>1.10</t>
        </is>
      </c>
      <c r="B14" s="18" t="inlineStr">
        <is>
          <t>Team 10</t>
        </is>
      </c>
      <c r="C14" s="19" t="n"/>
      <c r="E14" s="9" t="n">
        <v>10</v>
      </c>
      <c r="F14">
        <f>IF($AE14="","",IFERROR(INDEX(Players!$B$2:$B$301,$AE14),""))</f>
        <v/>
      </c>
      <c r="G14">
        <f>IF($AE14="","",IFERROR(INDEX(Players!$D$2:$D$301,$AE14),""))</f>
        <v/>
      </c>
      <c r="H14">
        <f>IF($AE14="","",IFERROR(INDEX(Players!$C$2:$C$301,$AE14),""))</f>
        <v/>
      </c>
      <c r="I14" s="12">
        <f>IF($AE14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-10+0.5)/3.5))))</f>
        <v/>
      </c>
      <c r="J14" s="12">
        <f>IF($AE14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-10+0.5)/3.5))))</f>
        <v/>
      </c>
      <c r="K14" s="13">
        <f>IF($AE14="","",IFERROR(INDEX(Players!$U$2:$U$301,$AE14),""))</f>
        <v/>
      </c>
      <c r="L14" s="13">
        <f>IF($AE14="","",IFERROR(INDEX(Players!$X$2:$X$301,$AE14),""))</f>
        <v/>
      </c>
      <c r="M14" s="14">
        <f>IF($AE14="","",IFERROR(INDEX(Players!$K$2:$K$301,$AE14),""))</f>
        <v/>
      </c>
      <c r="N14" s="14">
        <f>IF($AE14="","",IFERROR(INDEX(Players!$H$2:$H$301,$AE14),""))</f>
        <v/>
      </c>
      <c r="O14" s="15">
        <f>IF($AE14="","",IFERROR(INDEX(Players!$G$2:$G$301,$AE14),""))</f>
        <v/>
      </c>
      <c r="P14" s="14">
        <f>IF($AE14="","",IFERROR(INDEX(Players!$I$2:$I$301,$AE14),""))</f>
        <v/>
      </c>
      <c r="Q14" s="14">
        <f>IF($AE14="","",IFERROR(INDEX(Players!$F$2:$F$301,$AE14),""))</f>
        <v/>
      </c>
      <c r="R14" s="14">
        <f>IF($AE14="","",IFERROR(INDEX(Players!$J$2:$J$301,$AE14),""))</f>
        <v/>
      </c>
      <c r="S14" s="15">
        <f>IF($AE14="","",IFERROR(INDEX(Players!$L$2:$L$301,$AE14),""))</f>
        <v/>
      </c>
      <c r="T14" s="14">
        <f>IF($AE14="","",IFERROR(INDEX(Players!$M$2:$M$301,$AE14),""))</f>
        <v/>
      </c>
      <c r="U14" s="14">
        <f>IF($AE14="","",IFERROR(INDEX(Players!$N$2:$N$301,$AE14),""))</f>
        <v/>
      </c>
      <c r="V14" s="14">
        <f>IF($AE14="","",IFERROR(INDEX(Players!$O$2:$O$301,$AE14),""))</f>
        <v/>
      </c>
      <c r="W14" s="14">
        <f>IF($AE14="","",IFERROR(INDEX(Players!$P$2:$P$301,$AE14),""))</f>
        <v/>
      </c>
      <c r="X14" s="14">
        <f>IF($AE14="","",IFERROR(INDEX(Players!$Q$2:$Q$301,$AE14),""))</f>
        <v/>
      </c>
      <c r="Y14" s="14">
        <f>IF($AE14="","",IFERROR(INDEX(Players!$R$2:$R$301,$AE14),""))</f>
        <v/>
      </c>
      <c r="AA14" s="16" t="inlineStr">
        <is>
          <t>Forwards · 100+ BLK</t>
        </is>
      </c>
      <c r="AB14" s="17">
        <f>SUMPRODUCT(((Players!$D$2:$D$301="C")+(Players!$D$2:$D$301="L")+(Players!$D$2:$D$301="R"))*(Players!$R$2:$R$301&gt;=100)*(Players!$S$2:$S$301=0))</f>
        <v/>
      </c>
      <c r="AE14">
        <f>IFERROR(MATCH(LARGE(Players!$V$2:$V$301,10),Players!$V$2:$V$301,0),"")</f>
        <v/>
      </c>
    </row>
    <row r="15">
      <c r="A15" s="9" t="inlineStr">
        <is>
          <t>1.11</t>
        </is>
      </c>
      <c r="B15" s="18" t="inlineStr">
        <is>
          <t>Team 11</t>
        </is>
      </c>
      <c r="C15" s="19" t="n"/>
      <c r="E15" s="9" t="n">
        <v>11</v>
      </c>
      <c r="F15">
        <f>IF($AE15="","",IFERROR(INDEX(Players!$B$2:$B$301,$AE15),""))</f>
        <v/>
      </c>
      <c r="G15">
        <f>IF($AE15="","",IFERROR(INDEX(Players!$D$2:$D$301,$AE15),""))</f>
        <v/>
      </c>
      <c r="H15">
        <f>IF($AE15="","",IFERROR(INDEX(Players!$C$2:$C$301,$AE15),""))</f>
        <v/>
      </c>
      <c r="I15" s="12">
        <f>IF($AE15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-11+0.5)/3.5))))</f>
        <v/>
      </c>
      <c r="J15" s="12">
        <f>IF($AE15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-11+0.5)/3.5))))</f>
        <v/>
      </c>
      <c r="K15" s="13">
        <f>IF($AE15="","",IFERROR(INDEX(Players!$U$2:$U$301,$AE15),""))</f>
        <v/>
      </c>
      <c r="L15" s="13">
        <f>IF($AE15="","",IFERROR(INDEX(Players!$X$2:$X$301,$AE15),""))</f>
        <v/>
      </c>
      <c r="M15" s="14">
        <f>IF($AE15="","",IFERROR(INDEX(Players!$K$2:$K$301,$AE15),""))</f>
        <v/>
      </c>
      <c r="N15" s="14">
        <f>IF($AE15="","",IFERROR(INDEX(Players!$H$2:$H$301,$AE15),""))</f>
        <v/>
      </c>
      <c r="O15" s="15">
        <f>IF($AE15="","",IFERROR(INDEX(Players!$G$2:$G$301,$AE15),""))</f>
        <v/>
      </c>
      <c r="P15" s="14">
        <f>IF($AE15="","",IFERROR(INDEX(Players!$I$2:$I$301,$AE15),""))</f>
        <v/>
      </c>
      <c r="Q15" s="14">
        <f>IF($AE15="","",IFERROR(INDEX(Players!$F$2:$F$301,$AE15),""))</f>
        <v/>
      </c>
      <c r="R15" s="14">
        <f>IF($AE15="","",IFERROR(INDEX(Players!$J$2:$J$301,$AE15),""))</f>
        <v/>
      </c>
      <c r="S15" s="15">
        <f>IF($AE15="","",IFERROR(INDEX(Players!$L$2:$L$301,$AE15),""))</f>
        <v/>
      </c>
      <c r="T15" s="14">
        <f>IF($AE15="","",IFERROR(INDEX(Players!$M$2:$M$301,$AE15),""))</f>
        <v/>
      </c>
      <c r="U15" s="14">
        <f>IF($AE15="","",IFERROR(INDEX(Players!$N$2:$N$301,$AE15),""))</f>
        <v/>
      </c>
      <c r="V15" s="14">
        <f>IF($AE15="","",IFERROR(INDEX(Players!$O$2:$O$301,$AE15),""))</f>
        <v/>
      </c>
      <c r="W15" s="14">
        <f>IF($AE15="","",IFERROR(INDEX(Players!$P$2:$P$301,$AE15),""))</f>
        <v/>
      </c>
      <c r="X15" s="14">
        <f>IF($AE15="","",IFERROR(INDEX(Players!$Q$2:$Q$301,$AE15),""))</f>
        <v/>
      </c>
      <c r="Y15" s="14">
        <f>IF($AE15="","",IFERROR(INDEX(Players!$R$2:$R$301,$AE15),""))</f>
        <v/>
      </c>
      <c r="AA15" s="16" t="inlineStr">
        <is>
          <t>Defence · 200+ SOG</t>
        </is>
      </c>
      <c r="AB15" s="17">
        <f>SUMPRODUCT((Players!$D$2:$D$301="D")*(Players!$P$2:$P$301&gt;=200)*(Players!$S$2:$S$301=0))</f>
        <v/>
      </c>
      <c r="AE15">
        <f>IFERROR(MATCH(LARGE(Players!$V$2:$V$301,11),Players!$V$2:$V$301,0),"")</f>
        <v/>
      </c>
    </row>
    <row r="16">
      <c r="A16" s="9" t="inlineStr">
        <is>
          <t>1.12</t>
        </is>
      </c>
      <c r="B16" s="18" t="inlineStr">
        <is>
          <t>Team 12</t>
        </is>
      </c>
      <c r="C16" s="19" t="n"/>
      <c r="E16" s="9" t="n">
        <v>12</v>
      </c>
      <c r="F16">
        <f>IF($AE16="","",IFERROR(INDEX(Players!$B$2:$B$301,$AE16),""))</f>
        <v/>
      </c>
      <c r="G16">
        <f>IF($AE16="","",IFERROR(INDEX(Players!$D$2:$D$301,$AE16),""))</f>
        <v/>
      </c>
      <c r="H16">
        <f>IF($AE16="","",IFERROR(INDEX(Players!$C$2:$C$301,$AE16),""))</f>
        <v/>
      </c>
      <c r="I16" s="12">
        <f>IF($AE16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-12+0.5)/3.5))))</f>
        <v/>
      </c>
      <c r="J16" s="12">
        <f>IF($AE16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-12+0.5)/3.5))))</f>
        <v/>
      </c>
      <c r="K16" s="13">
        <f>IF($AE16="","",IFERROR(INDEX(Players!$U$2:$U$301,$AE16),""))</f>
        <v/>
      </c>
      <c r="L16" s="13">
        <f>IF($AE16="","",IFERROR(INDEX(Players!$X$2:$X$301,$AE16),""))</f>
        <v/>
      </c>
      <c r="M16" s="14">
        <f>IF($AE16="","",IFERROR(INDEX(Players!$K$2:$K$301,$AE16),""))</f>
        <v/>
      </c>
      <c r="N16" s="14">
        <f>IF($AE16="","",IFERROR(INDEX(Players!$H$2:$H$301,$AE16),""))</f>
        <v/>
      </c>
      <c r="O16" s="15">
        <f>IF($AE16="","",IFERROR(INDEX(Players!$G$2:$G$301,$AE16),""))</f>
        <v/>
      </c>
      <c r="P16" s="14">
        <f>IF($AE16="","",IFERROR(INDEX(Players!$I$2:$I$301,$AE16),""))</f>
        <v/>
      </c>
      <c r="Q16" s="14">
        <f>IF($AE16="","",IFERROR(INDEX(Players!$F$2:$F$301,$AE16),""))</f>
        <v/>
      </c>
      <c r="R16" s="14">
        <f>IF($AE16="","",IFERROR(INDEX(Players!$J$2:$J$301,$AE16),""))</f>
        <v/>
      </c>
      <c r="S16" s="15">
        <f>IF($AE16="","",IFERROR(INDEX(Players!$L$2:$L$301,$AE16),""))</f>
        <v/>
      </c>
      <c r="T16" s="14">
        <f>IF($AE16="","",IFERROR(INDEX(Players!$M$2:$M$301,$AE16),""))</f>
        <v/>
      </c>
      <c r="U16" s="14">
        <f>IF($AE16="","",IFERROR(INDEX(Players!$N$2:$N$301,$AE16),""))</f>
        <v/>
      </c>
      <c r="V16" s="14">
        <f>IF($AE16="","",IFERROR(INDEX(Players!$O$2:$O$301,$AE16),""))</f>
        <v/>
      </c>
      <c r="W16" s="14">
        <f>IF($AE16="","",IFERROR(INDEX(Players!$P$2:$P$301,$AE16),""))</f>
        <v/>
      </c>
      <c r="X16" s="14">
        <f>IF($AE16="","",IFERROR(INDEX(Players!$Q$2:$Q$301,$AE16),""))</f>
        <v/>
      </c>
      <c r="Y16" s="14">
        <f>IF($AE16="","",IFERROR(INDEX(Players!$R$2:$R$301,$AE16),""))</f>
        <v/>
      </c>
      <c r="AA16" s="16" t="inlineStr">
        <is>
          <t>Defence · 150+ HIT</t>
        </is>
      </c>
      <c r="AB16" s="17">
        <f>SUMPRODUCT((Players!$D$2:$D$301="D")*(Players!$Q$2:$Q$301&gt;=150)*(Players!$S$2:$S$301=0))</f>
        <v/>
      </c>
      <c r="AE16">
        <f>IFERROR(MATCH(LARGE(Players!$V$2:$V$301,12),Players!$V$2:$V$301,0),"")</f>
        <v/>
      </c>
    </row>
    <row r="17">
      <c r="A17" s="9" t="inlineStr">
        <is>
          <t>2.01</t>
        </is>
      </c>
      <c r="B17" s="18" t="inlineStr">
        <is>
          <t>Team 12</t>
        </is>
      </c>
      <c r="C17" s="19" t="n"/>
      <c r="E17" s="9" t="n">
        <v>13</v>
      </c>
      <c r="F17">
        <f>IF($AE17="","",IFERROR(INDEX(Players!$B$2:$B$301,$AE17),""))</f>
        <v/>
      </c>
      <c r="G17">
        <f>IF($AE17="","",IFERROR(INDEX(Players!$D$2:$D$301,$AE17),""))</f>
        <v/>
      </c>
      <c r="H17">
        <f>IF($AE17="","",IFERROR(INDEX(Players!$C$2:$C$301,$AE17),""))</f>
        <v/>
      </c>
      <c r="I17" s="12">
        <f>IF($AE17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-13+0.5)/3.5))))</f>
        <v/>
      </c>
      <c r="J17" s="12">
        <f>IF($AE17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-13+0.5)/3.5))))</f>
        <v/>
      </c>
      <c r="K17" s="13">
        <f>IF($AE17="","",IFERROR(INDEX(Players!$U$2:$U$301,$AE17),""))</f>
        <v/>
      </c>
      <c r="L17" s="13">
        <f>IF($AE17="","",IFERROR(INDEX(Players!$X$2:$X$301,$AE17),""))</f>
        <v/>
      </c>
      <c r="M17" s="14">
        <f>IF($AE17="","",IFERROR(INDEX(Players!$K$2:$K$301,$AE17),""))</f>
        <v/>
      </c>
      <c r="N17" s="14">
        <f>IF($AE17="","",IFERROR(INDEX(Players!$H$2:$H$301,$AE17),""))</f>
        <v/>
      </c>
      <c r="O17" s="15">
        <f>IF($AE17="","",IFERROR(INDEX(Players!$G$2:$G$301,$AE17),""))</f>
        <v/>
      </c>
      <c r="P17" s="14">
        <f>IF($AE17="","",IFERROR(INDEX(Players!$I$2:$I$301,$AE17),""))</f>
        <v/>
      </c>
      <c r="Q17" s="14">
        <f>IF($AE17="","",IFERROR(INDEX(Players!$F$2:$F$301,$AE17),""))</f>
        <v/>
      </c>
      <c r="R17" s="14">
        <f>IF($AE17="","",IFERROR(INDEX(Players!$J$2:$J$301,$AE17),""))</f>
        <v/>
      </c>
      <c r="S17" s="15">
        <f>IF($AE17="","",IFERROR(INDEX(Players!$L$2:$L$301,$AE17),""))</f>
        <v/>
      </c>
      <c r="T17" s="14">
        <f>IF($AE17="","",IFERROR(INDEX(Players!$M$2:$M$301,$AE17),""))</f>
        <v/>
      </c>
      <c r="U17" s="14">
        <f>IF($AE17="","",IFERROR(INDEX(Players!$N$2:$N$301,$AE17),""))</f>
        <v/>
      </c>
      <c r="V17" s="14">
        <f>IF($AE17="","",IFERROR(INDEX(Players!$O$2:$O$301,$AE17),""))</f>
        <v/>
      </c>
      <c r="W17" s="14">
        <f>IF($AE17="","",IFERROR(INDEX(Players!$P$2:$P$301,$AE17),""))</f>
        <v/>
      </c>
      <c r="X17" s="14">
        <f>IF($AE17="","",IFERROR(INDEX(Players!$Q$2:$Q$301,$AE17),""))</f>
        <v/>
      </c>
      <c r="Y17" s="14">
        <f>IF($AE17="","",IFERROR(INDEX(Players!$R$2:$R$301,$AE17),""))</f>
        <v/>
      </c>
      <c r="AA17" s="16" t="inlineStr">
        <is>
          <t>Any skater · 150+ HIT</t>
        </is>
      </c>
      <c r="AB17" s="17">
        <f>SUMPRODUCT((Players!$D$2:$D$301&lt;&gt;"G")*(Players!$Q$2:$Q$301&gt;=150)*(Players!$S$2:$S$301=0))</f>
        <v/>
      </c>
      <c r="AE17">
        <f>IFERROR(MATCH(LARGE(Players!$V$2:$V$301,13),Players!$V$2:$V$301,0),"")</f>
        <v/>
      </c>
    </row>
    <row r="18">
      <c r="A18" s="9" t="inlineStr">
        <is>
          <t>2.02</t>
        </is>
      </c>
      <c r="B18" s="18" t="inlineStr">
        <is>
          <t>Team 11</t>
        </is>
      </c>
      <c r="C18" s="19" t="n"/>
      <c r="E18" s="9" t="n">
        <v>14</v>
      </c>
      <c r="F18">
        <f>IF($AE18="","",IFERROR(INDEX(Players!$B$2:$B$301,$AE18),""))</f>
        <v/>
      </c>
      <c r="G18">
        <f>IF($AE18="","",IFERROR(INDEX(Players!$D$2:$D$301,$AE18),""))</f>
        <v/>
      </c>
      <c r="H18">
        <f>IF($AE18="","",IFERROR(INDEX(Players!$C$2:$C$301,$AE18),""))</f>
        <v/>
      </c>
      <c r="I18" s="12">
        <f>IF($AE18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-14+0.5)/3.5))))</f>
        <v/>
      </c>
      <c r="J18" s="12">
        <f>IF($AE18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-14+0.5)/3.5))))</f>
        <v/>
      </c>
      <c r="K18" s="13">
        <f>IF($AE18="","",IFERROR(INDEX(Players!$U$2:$U$301,$AE18),""))</f>
        <v/>
      </c>
      <c r="L18" s="13">
        <f>IF($AE18="","",IFERROR(INDEX(Players!$X$2:$X$301,$AE18),""))</f>
        <v/>
      </c>
      <c r="M18" s="14">
        <f>IF($AE18="","",IFERROR(INDEX(Players!$K$2:$K$301,$AE18),""))</f>
        <v/>
      </c>
      <c r="N18" s="14">
        <f>IF($AE18="","",IFERROR(INDEX(Players!$H$2:$H$301,$AE18),""))</f>
        <v/>
      </c>
      <c r="O18" s="15">
        <f>IF($AE18="","",IFERROR(INDEX(Players!$G$2:$G$301,$AE18),""))</f>
        <v/>
      </c>
      <c r="P18" s="14">
        <f>IF($AE18="","",IFERROR(INDEX(Players!$I$2:$I$301,$AE18),""))</f>
        <v/>
      </c>
      <c r="Q18" s="14">
        <f>IF($AE18="","",IFERROR(INDEX(Players!$F$2:$F$301,$AE18),""))</f>
        <v/>
      </c>
      <c r="R18" s="14">
        <f>IF($AE18="","",IFERROR(INDEX(Players!$J$2:$J$301,$AE18),""))</f>
        <v/>
      </c>
      <c r="S18" s="15">
        <f>IF($AE18="","",IFERROR(INDEX(Players!$L$2:$L$301,$AE18),""))</f>
        <v/>
      </c>
      <c r="T18" s="14">
        <f>IF($AE18="","",IFERROR(INDEX(Players!$M$2:$M$301,$AE18),""))</f>
        <v/>
      </c>
      <c r="U18" s="14">
        <f>IF($AE18="","",IFERROR(INDEX(Players!$N$2:$N$301,$AE18),""))</f>
        <v/>
      </c>
      <c r="V18" s="14">
        <f>IF($AE18="","",IFERROR(INDEX(Players!$O$2:$O$301,$AE18),""))</f>
        <v/>
      </c>
      <c r="W18" s="14">
        <f>IF($AE18="","",IFERROR(INDEX(Players!$P$2:$P$301,$AE18),""))</f>
        <v/>
      </c>
      <c r="X18" s="14">
        <f>IF($AE18="","",IFERROR(INDEX(Players!$Q$2:$Q$301,$AE18),""))</f>
        <v/>
      </c>
      <c r="Y18" s="14">
        <f>IF($AE18="","",IFERROR(INDEX(Players!$R$2:$R$301,$AE18),""))</f>
        <v/>
      </c>
      <c r="AA18" s="16" t="inlineStr">
        <is>
          <t>Defence · 30+ PPP</t>
        </is>
      </c>
      <c r="AB18" s="17">
        <f>SUMPRODUCT((Players!$D$2:$D$301="D")*(Players!$O$2:$O$301&gt;=30)*(Players!$S$2:$S$301=0))</f>
        <v/>
      </c>
      <c r="AE18">
        <f>IFERROR(MATCH(LARGE(Players!$V$2:$V$301,14),Players!$V$2:$V$301,0),"")</f>
        <v/>
      </c>
    </row>
    <row r="19">
      <c r="A19" s="9" t="inlineStr">
        <is>
          <t>2.03</t>
        </is>
      </c>
      <c r="B19" s="18" t="inlineStr">
        <is>
          <t>Team 10</t>
        </is>
      </c>
      <c r="C19" s="19" t="n"/>
      <c r="E19" s="9" t="n">
        <v>15</v>
      </c>
      <c r="F19">
        <f>IF($AE19="","",IFERROR(INDEX(Players!$B$2:$B$301,$AE19),""))</f>
        <v/>
      </c>
      <c r="G19">
        <f>IF($AE19="","",IFERROR(INDEX(Players!$D$2:$D$301,$AE19),""))</f>
        <v/>
      </c>
      <c r="H19">
        <f>IF($AE19="","",IFERROR(INDEX(Players!$C$2:$C$301,$AE19),""))</f>
        <v/>
      </c>
      <c r="I19" s="12">
        <f>IF($AE19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-15+0.5)/3.5))))</f>
        <v/>
      </c>
      <c r="J19" s="12">
        <f>IF($AE19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-15+0.5)/3.5))))</f>
        <v/>
      </c>
      <c r="K19" s="13">
        <f>IF($AE19="","",IFERROR(INDEX(Players!$U$2:$U$301,$AE19),""))</f>
        <v/>
      </c>
      <c r="L19" s="13">
        <f>IF($AE19="","",IFERROR(INDEX(Players!$X$2:$X$301,$AE19),""))</f>
        <v/>
      </c>
      <c r="M19" s="14">
        <f>IF($AE19="","",IFERROR(INDEX(Players!$K$2:$K$301,$AE19),""))</f>
        <v/>
      </c>
      <c r="N19" s="14">
        <f>IF($AE19="","",IFERROR(INDEX(Players!$H$2:$H$301,$AE19),""))</f>
        <v/>
      </c>
      <c r="O19" s="15">
        <f>IF($AE19="","",IFERROR(INDEX(Players!$G$2:$G$301,$AE19),""))</f>
        <v/>
      </c>
      <c r="P19" s="14">
        <f>IF($AE19="","",IFERROR(INDEX(Players!$I$2:$I$301,$AE19),""))</f>
        <v/>
      </c>
      <c r="Q19" s="14">
        <f>IF($AE19="","",IFERROR(INDEX(Players!$F$2:$F$301,$AE19),""))</f>
        <v/>
      </c>
      <c r="R19" s="14">
        <f>IF($AE19="","",IFERROR(INDEX(Players!$J$2:$J$301,$AE19),""))</f>
        <v/>
      </c>
      <c r="S19" s="15">
        <f>IF($AE19="","",IFERROR(INDEX(Players!$L$2:$L$301,$AE19),""))</f>
        <v/>
      </c>
      <c r="T19" s="14">
        <f>IF($AE19="","",IFERROR(INDEX(Players!$M$2:$M$301,$AE19),""))</f>
        <v/>
      </c>
      <c r="U19" s="14">
        <f>IF($AE19="","",IFERROR(INDEX(Players!$N$2:$N$301,$AE19),""))</f>
        <v/>
      </c>
      <c r="V19" s="14">
        <f>IF($AE19="","",IFERROR(INDEX(Players!$O$2:$O$301,$AE19),""))</f>
        <v/>
      </c>
      <c r="W19" s="14">
        <f>IF($AE19="","",IFERROR(INDEX(Players!$P$2:$P$301,$AE19),""))</f>
        <v/>
      </c>
      <c r="X19" s="14">
        <f>IF($AE19="","",IFERROR(INDEX(Players!$Q$2:$Q$301,$AE19),""))</f>
        <v/>
      </c>
      <c r="Y19" s="14">
        <f>IF($AE19="","",IFERROR(INDEX(Players!$R$2:$R$301,$AE19),""))</f>
        <v/>
      </c>
      <c r="AA19" s="16" t="inlineStr">
        <is>
          <t>PP1 · 200+ HIT</t>
        </is>
      </c>
      <c r="AB19" s="17">
        <f>SUMPRODUCT((Players!$F$2:$F$301="PP1")*(Players!$Q$2:$Q$301&gt;=200)*(Players!$S$2:$S$301=0))</f>
        <v/>
      </c>
      <c r="AE19">
        <f>IFERROR(MATCH(LARGE(Players!$V$2:$V$301,15),Players!$V$2:$V$301,0),"")</f>
        <v/>
      </c>
    </row>
    <row r="20">
      <c r="A20" s="9" t="inlineStr">
        <is>
          <t>2.04</t>
        </is>
      </c>
      <c r="B20" s="18" t="inlineStr">
        <is>
          <t>Team 9</t>
        </is>
      </c>
      <c r="C20" s="19" t="n"/>
      <c r="E20" s="9" t="n">
        <v>16</v>
      </c>
      <c r="F20">
        <f>IF($AE20="","",IFERROR(INDEX(Players!$B$2:$B$301,$AE20),""))</f>
        <v/>
      </c>
      <c r="G20">
        <f>IF($AE20="","",IFERROR(INDEX(Players!$D$2:$D$301,$AE20),""))</f>
        <v/>
      </c>
      <c r="H20">
        <f>IF($AE20="","",IFERROR(INDEX(Players!$C$2:$C$301,$AE20),""))</f>
        <v/>
      </c>
      <c r="I20" s="12">
        <f>IF($AE20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-16+0.5)/3.5))))</f>
        <v/>
      </c>
      <c r="J20" s="12">
        <f>IF($AE20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-16+0.5)/3.5))))</f>
        <v/>
      </c>
      <c r="K20" s="13">
        <f>IF($AE20="","",IFERROR(INDEX(Players!$U$2:$U$301,$AE20),""))</f>
        <v/>
      </c>
      <c r="L20" s="13">
        <f>IF($AE20="","",IFERROR(INDEX(Players!$X$2:$X$301,$AE20),""))</f>
        <v/>
      </c>
      <c r="M20" s="14">
        <f>IF($AE20="","",IFERROR(INDEX(Players!$K$2:$K$301,$AE20),""))</f>
        <v/>
      </c>
      <c r="N20" s="14">
        <f>IF($AE20="","",IFERROR(INDEX(Players!$H$2:$H$301,$AE20),""))</f>
        <v/>
      </c>
      <c r="O20" s="15">
        <f>IF($AE20="","",IFERROR(INDEX(Players!$G$2:$G$301,$AE20),""))</f>
        <v/>
      </c>
      <c r="P20" s="14">
        <f>IF($AE20="","",IFERROR(INDEX(Players!$I$2:$I$301,$AE20),""))</f>
        <v/>
      </c>
      <c r="Q20" s="14">
        <f>IF($AE20="","",IFERROR(INDEX(Players!$F$2:$F$301,$AE20),""))</f>
        <v/>
      </c>
      <c r="R20" s="14">
        <f>IF($AE20="","",IFERROR(INDEX(Players!$J$2:$J$301,$AE20),""))</f>
        <v/>
      </c>
      <c r="S20" s="15">
        <f>IF($AE20="","",IFERROR(INDEX(Players!$L$2:$L$301,$AE20),""))</f>
        <v/>
      </c>
      <c r="T20" s="14">
        <f>IF($AE20="","",IFERROR(INDEX(Players!$M$2:$M$301,$AE20),""))</f>
        <v/>
      </c>
      <c r="U20" s="14">
        <f>IF($AE20="","",IFERROR(INDEX(Players!$N$2:$N$301,$AE20),""))</f>
        <v/>
      </c>
      <c r="V20" s="14">
        <f>IF($AE20="","",IFERROR(INDEX(Players!$O$2:$O$301,$AE20),""))</f>
        <v/>
      </c>
      <c r="W20" s="14">
        <f>IF($AE20="","",IFERROR(INDEX(Players!$P$2:$P$301,$AE20),""))</f>
        <v/>
      </c>
      <c r="X20" s="14">
        <f>IF($AE20="","",IFERROR(INDEX(Players!$Q$2:$Q$301,$AE20),""))</f>
        <v/>
      </c>
      <c r="Y20" s="14">
        <f>IF($AE20="","",IFERROR(INDEX(Players!$R$2:$R$301,$AE20),""))</f>
        <v/>
      </c>
      <c r="AA20" s="16" t="inlineStr">
        <is>
          <t>PP1 · 160+ BLK</t>
        </is>
      </c>
      <c r="AB20" s="17">
        <f>SUMPRODUCT((Players!$F$2:$F$301="PP1")*(Players!$R$2:$R$301&gt;=160)*(Players!$S$2:$S$301=0))</f>
        <v/>
      </c>
      <c r="AE20">
        <f>IFERROR(MATCH(LARGE(Players!$V$2:$V$301,16),Players!$V$2:$V$301,0),"")</f>
        <v/>
      </c>
    </row>
    <row r="21">
      <c r="A21" s="9" t="inlineStr">
        <is>
          <t>2.05</t>
        </is>
      </c>
      <c r="B21" s="18" t="inlineStr">
        <is>
          <t>Team 8</t>
        </is>
      </c>
      <c r="C21" s="19" t="n"/>
      <c r="E21" s="9" t="n">
        <v>17</v>
      </c>
      <c r="F21">
        <f>IF($AE21="","",IFERROR(INDEX(Players!$B$2:$B$301,$AE21),""))</f>
        <v/>
      </c>
      <c r="G21">
        <f>IF($AE21="","",IFERROR(INDEX(Players!$D$2:$D$301,$AE21),""))</f>
        <v/>
      </c>
      <c r="H21">
        <f>IF($AE21="","",IFERROR(INDEX(Players!$C$2:$C$301,$AE21),""))</f>
        <v/>
      </c>
      <c r="I21" s="12">
        <f>IF($AE21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-17+0.5)/3.5))))</f>
        <v/>
      </c>
      <c r="J21" s="12">
        <f>IF($AE21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-17+0.5)/3.5))))</f>
        <v/>
      </c>
      <c r="K21" s="13">
        <f>IF($AE21="","",IFERROR(INDEX(Players!$U$2:$U$301,$AE21),""))</f>
        <v/>
      </c>
      <c r="L21" s="13">
        <f>IF($AE21="","",IFERROR(INDEX(Players!$X$2:$X$301,$AE21),""))</f>
        <v/>
      </c>
      <c r="M21" s="14">
        <f>IF($AE21="","",IFERROR(INDEX(Players!$K$2:$K$301,$AE21),""))</f>
        <v/>
      </c>
      <c r="N21" s="14">
        <f>IF($AE21="","",IFERROR(INDEX(Players!$H$2:$H$301,$AE21),""))</f>
        <v/>
      </c>
      <c r="O21" s="15">
        <f>IF($AE21="","",IFERROR(INDEX(Players!$G$2:$G$301,$AE21),""))</f>
        <v/>
      </c>
      <c r="P21" s="14">
        <f>IF($AE21="","",IFERROR(INDEX(Players!$I$2:$I$301,$AE21),""))</f>
        <v/>
      </c>
      <c r="Q21" s="14">
        <f>IF($AE21="","",IFERROR(INDEX(Players!$F$2:$F$301,$AE21),""))</f>
        <v/>
      </c>
      <c r="R21" s="14">
        <f>IF($AE21="","",IFERROR(INDEX(Players!$J$2:$J$301,$AE21),""))</f>
        <v/>
      </c>
      <c r="S21" s="15">
        <f>IF($AE21="","",IFERROR(INDEX(Players!$L$2:$L$301,$AE21),""))</f>
        <v/>
      </c>
      <c r="T21" s="14">
        <f>IF($AE21="","",IFERROR(INDEX(Players!$M$2:$M$301,$AE21),""))</f>
        <v/>
      </c>
      <c r="U21" s="14">
        <f>IF($AE21="","",IFERROR(INDEX(Players!$N$2:$N$301,$AE21),""))</f>
        <v/>
      </c>
      <c r="V21" s="14">
        <f>IF($AE21="","",IFERROR(INDEX(Players!$O$2:$O$301,$AE21),""))</f>
        <v/>
      </c>
      <c r="W21" s="14">
        <f>IF($AE21="","",IFERROR(INDEX(Players!$P$2:$P$301,$AE21),""))</f>
        <v/>
      </c>
      <c r="X21" s="14">
        <f>IF($AE21="","",IFERROR(INDEX(Players!$Q$2:$Q$301,$AE21),""))</f>
        <v/>
      </c>
      <c r="Y21" s="14">
        <f>IF($AE21="","",IFERROR(INDEX(Players!$R$2:$R$301,$AE21),""))</f>
        <v/>
      </c>
      <c r="AA21" s="16" t="inlineStr">
        <is>
          <t>PP1 · 250+ SOG</t>
        </is>
      </c>
      <c r="AB21" s="17">
        <f>SUMPRODUCT((Players!$F$2:$F$301="PP1")*(Players!$P$2:$P$301&gt;=250)*(Players!$S$2:$S$301=0))</f>
        <v/>
      </c>
      <c r="AE21">
        <f>IFERROR(MATCH(LARGE(Players!$V$2:$V$301,17),Players!$V$2:$V$301,0),"")</f>
        <v/>
      </c>
    </row>
    <row r="22">
      <c r="A22" s="9" t="inlineStr">
        <is>
          <t>2.06</t>
        </is>
      </c>
      <c r="B22" s="18" t="inlineStr">
        <is>
          <t>Team 7</t>
        </is>
      </c>
      <c r="C22" s="19" t="n"/>
      <c r="E22" s="9" t="n">
        <v>18</v>
      </c>
      <c r="F22">
        <f>IF($AE22="","",IFERROR(INDEX(Players!$B$2:$B$301,$AE22),""))</f>
        <v/>
      </c>
      <c r="G22">
        <f>IF($AE22="","",IFERROR(INDEX(Players!$D$2:$D$301,$AE22),""))</f>
        <v/>
      </c>
      <c r="H22">
        <f>IF($AE22="","",IFERROR(INDEX(Players!$C$2:$C$301,$AE22),""))</f>
        <v/>
      </c>
      <c r="I22" s="12">
        <f>IF($AE22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-18+0.5)/3.5))))</f>
        <v/>
      </c>
      <c r="J22" s="12">
        <f>IF($AE22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-18+0.5)/3.5))))</f>
        <v/>
      </c>
      <c r="K22" s="13">
        <f>IF($AE22="","",IFERROR(INDEX(Players!$U$2:$U$301,$AE22),""))</f>
        <v/>
      </c>
      <c r="L22" s="13">
        <f>IF($AE22="","",IFERROR(INDEX(Players!$X$2:$X$301,$AE22),""))</f>
        <v/>
      </c>
      <c r="M22" s="14">
        <f>IF($AE22="","",IFERROR(INDEX(Players!$K$2:$K$301,$AE22),""))</f>
        <v/>
      </c>
      <c r="N22" s="14">
        <f>IF($AE22="","",IFERROR(INDEX(Players!$H$2:$H$301,$AE22),""))</f>
        <v/>
      </c>
      <c r="O22" s="15">
        <f>IF($AE22="","",IFERROR(INDEX(Players!$G$2:$G$301,$AE22),""))</f>
        <v/>
      </c>
      <c r="P22" s="14">
        <f>IF($AE22="","",IFERROR(INDEX(Players!$I$2:$I$301,$AE22),""))</f>
        <v/>
      </c>
      <c r="Q22" s="14">
        <f>IF($AE22="","",IFERROR(INDEX(Players!$F$2:$F$301,$AE22),""))</f>
        <v/>
      </c>
      <c r="R22" s="14">
        <f>IF($AE22="","",IFERROR(INDEX(Players!$J$2:$J$301,$AE22),""))</f>
        <v/>
      </c>
      <c r="S22" s="15">
        <f>IF($AE22="","",IFERROR(INDEX(Players!$L$2:$L$301,$AE22),""))</f>
        <v/>
      </c>
      <c r="T22" s="14">
        <f>IF($AE22="","",IFERROR(INDEX(Players!$M$2:$M$301,$AE22),""))</f>
        <v/>
      </c>
      <c r="U22" s="14">
        <f>IF($AE22="","",IFERROR(INDEX(Players!$N$2:$N$301,$AE22),""))</f>
        <v/>
      </c>
      <c r="V22" s="14">
        <f>IF($AE22="","",IFERROR(INDEX(Players!$O$2:$O$301,$AE22),""))</f>
        <v/>
      </c>
      <c r="W22" s="14">
        <f>IF($AE22="","",IFERROR(INDEX(Players!$P$2:$P$301,$AE22),""))</f>
        <v/>
      </c>
      <c r="X22" s="14">
        <f>IF($AE22="","",IFERROR(INDEX(Players!$Q$2:$Q$301,$AE22),""))</f>
        <v/>
      </c>
      <c r="Y22" s="14">
        <f>IF($AE22="","",IFERROR(INDEX(Players!$R$2:$R$301,$AE22),""))</f>
        <v/>
      </c>
      <c r="AE22">
        <f>IFERROR(MATCH(LARGE(Players!$V$2:$V$301,18),Players!$V$2:$V$301,0),"")</f>
        <v/>
      </c>
    </row>
    <row r="23">
      <c r="A23" s="9" t="inlineStr">
        <is>
          <t>2.07</t>
        </is>
      </c>
      <c r="B23" s="18" t="inlineStr">
        <is>
          <t>Team 6</t>
        </is>
      </c>
      <c r="C23" s="19" t="n"/>
      <c r="E23" s="9" t="n">
        <v>19</v>
      </c>
      <c r="F23">
        <f>IF($AE23="","",IFERROR(INDEX(Players!$B$2:$B$301,$AE23),""))</f>
        <v/>
      </c>
      <c r="G23">
        <f>IF($AE23="","",IFERROR(INDEX(Players!$D$2:$D$301,$AE23),""))</f>
        <v/>
      </c>
      <c r="H23">
        <f>IF($AE23="","",IFERROR(INDEX(Players!$C$2:$C$301,$AE23),""))</f>
        <v/>
      </c>
      <c r="I23" s="12">
        <f>IF($AE23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-19+0.5)/3.5))))</f>
        <v/>
      </c>
      <c r="J23" s="12">
        <f>IF($AE23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-19+0.5)/3.5))))</f>
        <v/>
      </c>
      <c r="K23" s="13">
        <f>IF($AE23="","",IFERROR(INDEX(Players!$U$2:$U$301,$AE23),""))</f>
        <v/>
      </c>
      <c r="L23" s="13">
        <f>IF($AE23="","",IFERROR(INDEX(Players!$X$2:$X$301,$AE23),""))</f>
        <v/>
      </c>
      <c r="M23" s="14">
        <f>IF($AE23="","",IFERROR(INDEX(Players!$K$2:$K$301,$AE23),""))</f>
        <v/>
      </c>
      <c r="N23" s="14">
        <f>IF($AE23="","",IFERROR(INDEX(Players!$H$2:$H$301,$AE23),""))</f>
        <v/>
      </c>
      <c r="O23" s="15">
        <f>IF($AE23="","",IFERROR(INDEX(Players!$G$2:$G$301,$AE23),""))</f>
        <v/>
      </c>
      <c r="P23" s="14">
        <f>IF($AE23="","",IFERROR(INDEX(Players!$I$2:$I$301,$AE23),""))</f>
        <v/>
      </c>
      <c r="Q23" s="14">
        <f>IF($AE23="","",IFERROR(INDEX(Players!$F$2:$F$301,$AE23),""))</f>
        <v/>
      </c>
      <c r="R23" s="14">
        <f>IF($AE23="","",IFERROR(INDEX(Players!$J$2:$J$301,$AE23),""))</f>
        <v/>
      </c>
      <c r="S23" s="15">
        <f>IF($AE23="","",IFERROR(INDEX(Players!$L$2:$L$301,$AE23),""))</f>
        <v/>
      </c>
      <c r="T23" s="14">
        <f>IF($AE23="","",IFERROR(INDEX(Players!$M$2:$M$301,$AE23),""))</f>
        <v/>
      </c>
      <c r="U23" s="14">
        <f>IF($AE23="","",IFERROR(INDEX(Players!$N$2:$N$301,$AE23),""))</f>
        <v/>
      </c>
      <c r="V23" s="14">
        <f>IF($AE23="","",IFERROR(INDEX(Players!$O$2:$O$301,$AE23),""))</f>
        <v/>
      </c>
      <c r="W23" s="14">
        <f>IF($AE23="","",IFERROR(INDEX(Players!$P$2:$P$301,$AE23),""))</f>
        <v/>
      </c>
      <c r="X23" s="14">
        <f>IF($AE23="","",IFERROR(INDEX(Players!$Q$2:$Q$301,$AE23),""))</f>
        <v/>
      </c>
      <c r="Y23" s="14">
        <f>IF($AE23="","",IFERROR(INDEX(Players!$R$2:$R$301,$AE23),""))</f>
        <v/>
      </c>
      <c r="AA23" s="20" t="inlineStr">
        <is>
          <t>BEST LEFT / POS</t>
        </is>
      </c>
      <c r="AE23">
        <f>IFERROR(MATCH(LARGE(Players!$V$2:$V$301,19),Players!$V$2:$V$301,0),"")</f>
        <v/>
      </c>
    </row>
    <row r="24">
      <c r="A24" s="9" t="inlineStr">
        <is>
          <t>2.08</t>
        </is>
      </c>
      <c r="B24" s="18" t="inlineStr">
        <is>
          <t>Team 5</t>
        </is>
      </c>
      <c r="C24" s="19" t="n"/>
      <c r="E24" s="9" t="n">
        <v>20</v>
      </c>
      <c r="F24">
        <f>IF($AE24="","",IFERROR(INDEX(Players!$B$2:$B$301,$AE24),""))</f>
        <v/>
      </c>
      <c r="G24">
        <f>IF($AE24="","",IFERROR(INDEX(Players!$D$2:$D$301,$AE24),""))</f>
        <v/>
      </c>
      <c r="H24">
        <f>IF($AE24="","",IFERROR(INDEX(Players!$C$2:$C$301,$AE24),""))</f>
        <v/>
      </c>
      <c r="I24" s="12">
        <f>IF($AE24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-20+0.5)/3.5))))</f>
        <v/>
      </c>
      <c r="J24" s="12">
        <f>IF($AE24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-20+0.5)/3.5))))</f>
        <v/>
      </c>
      <c r="K24" s="13">
        <f>IF($AE24="","",IFERROR(INDEX(Players!$U$2:$U$301,$AE24),""))</f>
        <v/>
      </c>
      <c r="L24" s="13">
        <f>IF($AE24="","",IFERROR(INDEX(Players!$X$2:$X$301,$AE24),""))</f>
        <v/>
      </c>
      <c r="M24" s="14">
        <f>IF($AE24="","",IFERROR(INDEX(Players!$K$2:$K$301,$AE24),""))</f>
        <v/>
      </c>
      <c r="N24" s="14">
        <f>IF($AE24="","",IFERROR(INDEX(Players!$H$2:$H$301,$AE24),""))</f>
        <v/>
      </c>
      <c r="O24" s="15">
        <f>IF($AE24="","",IFERROR(INDEX(Players!$G$2:$G$301,$AE24),""))</f>
        <v/>
      </c>
      <c r="P24" s="14">
        <f>IF($AE24="","",IFERROR(INDEX(Players!$I$2:$I$301,$AE24),""))</f>
        <v/>
      </c>
      <c r="Q24" s="14">
        <f>IF($AE24="","",IFERROR(INDEX(Players!$F$2:$F$301,$AE24),""))</f>
        <v/>
      </c>
      <c r="R24" s="14">
        <f>IF($AE24="","",IFERROR(INDEX(Players!$J$2:$J$301,$AE24),""))</f>
        <v/>
      </c>
      <c r="S24" s="15">
        <f>IF($AE24="","",IFERROR(INDEX(Players!$L$2:$L$301,$AE24),""))</f>
        <v/>
      </c>
      <c r="T24" s="14">
        <f>IF($AE24="","",IFERROR(INDEX(Players!$M$2:$M$301,$AE24),""))</f>
        <v/>
      </c>
      <c r="U24" s="14">
        <f>IF($AE24="","",IFERROR(INDEX(Players!$N$2:$N$301,$AE24),""))</f>
        <v/>
      </c>
      <c r="V24" s="14">
        <f>IF($AE24="","",IFERROR(INDEX(Players!$O$2:$O$301,$AE24),""))</f>
        <v/>
      </c>
      <c r="W24" s="14">
        <f>IF($AE24="","",IFERROR(INDEX(Players!$P$2:$P$301,$AE24),""))</f>
        <v/>
      </c>
      <c r="X24" s="14">
        <f>IF($AE24="","",IFERROR(INDEX(Players!$Q$2:$Q$301,$AE24),""))</f>
        <v/>
      </c>
      <c r="Y24" s="14">
        <f>IF($AE24="","",IFERROR(INDEX(Players!$R$2:$R$301,$AE24),""))</f>
        <v/>
      </c>
      <c r="AA24" s="16" t="inlineStr">
        <is>
          <t>C</t>
        </is>
      </c>
      <c r="AB24" s="21">
        <f>IFERROR(INDEX(Players!$B$2:$B$301,MATCH(SUMPRODUCT(MAX((Players!$D$2:$D$301="C")*(Players!$V$2:$V$301))),Players!$V$2:$V$301,0)),"")</f>
        <v/>
      </c>
      <c r="AE24">
        <f>IFERROR(MATCH(LARGE(Players!$V$2:$V$301,20),Players!$V$2:$V$301,0),"")</f>
        <v/>
      </c>
    </row>
    <row r="25">
      <c r="A25" s="9" t="inlineStr">
        <is>
          <t>2.09</t>
        </is>
      </c>
      <c r="B25" s="18" t="inlineStr">
        <is>
          <t>Team 4</t>
        </is>
      </c>
      <c r="C25" s="19" t="n"/>
      <c r="E25" s="9" t="n">
        <v>21</v>
      </c>
      <c r="F25">
        <f>IF($AE25="","",IFERROR(INDEX(Players!$B$2:$B$301,$AE25),""))</f>
        <v/>
      </c>
      <c r="G25">
        <f>IF($AE25="","",IFERROR(INDEX(Players!$D$2:$D$301,$AE25),""))</f>
        <v/>
      </c>
      <c r="H25">
        <f>IF($AE25="","",IFERROR(INDEX(Players!$C$2:$C$301,$AE25),""))</f>
        <v/>
      </c>
      <c r="I25" s="12">
        <f>IF($AE25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-21+0.5)/3.5))))</f>
        <v/>
      </c>
      <c r="J25" s="12">
        <f>IF($AE25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-21+0.5)/3.5))))</f>
        <v/>
      </c>
      <c r="K25" s="13">
        <f>IF($AE25="","",IFERROR(INDEX(Players!$U$2:$U$301,$AE25),""))</f>
        <v/>
      </c>
      <c r="L25" s="13">
        <f>IF($AE25="","",IFERROR(INDEX(Players!$X$2:$X$301,$AE25),""))</f>
        <v/>
      </c>
      <c r="M25" s="14">
        <f>IF($AE25="","",IFERROR(INDEX(Players!$K$2:$K$301,$AE25),""))</f>
        <v/>
      </c>
      <c r="N25" s="14">
        <f>IF($AE25="","",IFERROR(INDEX(Players!$H$2:$H$301,$AE25),""))</f>
        <v/>
      </c>
      <c r="O25" s="15">
        <f>IF($AE25="","",IFERROR(INDEX(Players!$G$2:$G$301,$AE25),""))</f>
        <v/>
      </c>
      <c r="P25" s="14">
        <f>IF($AE25="","",IFERROR(INDEX(Players!$I$2:$I$301,$AE25),""))</f>
        <v/>
      </c>
      <c r="Q25" s="14">
        <f>IF($AE25="","",IFERROR(INDEX(Players!$F$2:$F$301,$AE25),""))</f>
        <v/>
      </c>
      <c r="R25" s="14">
        <f>IF($AE25="","",IFERROR(INDEX(Players!$J$2:$J$301,$AE25),""))</f>
        <v/>
      </c>
      <c r="S25" s="15">
        <f>IF($AE25="","",IFERROR(INDEX(Players!$L$2:$L$301,$AE25),""))</f>
        <v/>
      </c>
      <c r="T25" s="14">
        <f>IF($AE25="","",IFERROR(INDEX(Players!$M$2:$M$301,$AE25),""))</f>
        <v/>
      </c>
      <c r="U25" s="14">
        <f>IF($AE25="","",IFERROR(INDEX(Players!$N$2:$N$301,$AE25),""))</f>
        <v/>
      </c>
      <c r="V25" s="14">
        <f>IF($AE25="","",IFERROR(INDEX(Players!$O$2:$O$301,$AE25),""))</f>
        <v/>
      </c>
      <c r="W25" s="14">
        <f>IF($AE25="","",IFERROR(INDEX(Players!$P$2:$P$301,$AE25),""))</f>
        <v/>
      </c>
      <c r="X25" s="14">
        <f>IF($AE25="","",IFERROR(INDEX(Players!$Q$2:$Q$301,$AE25),""))</f>
        <v/>
      </c>
      <c r="Y25" s="14">
        <f>IF($AE25="","",IFERROR(INDEX(Players!$R$2:$R$301,$AE25),""))</f>
        <v/>
      </c>
      <c r="AA25" s="16" t="inlineStr">
        <is>
          <t>L</t>
        </is>
      </c>
      <c r="AB25" s="21">
        <f>IFERROR(INDEX(Players!$B$2:$B$301,MATCH(SUMPRODUCT(MAX((Players!$D$2:$D$301="L")*(Players!$V$2:$V$301))),Players!$V$2:$V$301,0)),"")</f>
        <v/>
      </c>
      <c r="AE25">
        <f>IFERROR(MATCH(LARGE(Players!$V$2:$V$301,21),Players!$V$2:$V$301,0),"")</f>
        <v/>
      </c>
    </row>
    <row r="26">
      <c r="A26" s="9" t="inlineStr">
        <is>
          <t>2.10</t>
        </is>
      </c>
      <c r="B26" s="18" t="inlineStr">
        <is>
          <t>Team 3</t>
        </is>
      </c>
      <c r="C26" s="19" t="n"/>
      <c r="E26" s="9" t="n">
        <v>22</v>
      </c>
      <c r="F26">
        <f>IF($AE26="","",IFERROR(INDEX(Players!$B$2:$B$301,$AE26),""))</f>
        <v/>
      </c>
      <c r="G26">
        <f>IF($AE26="","",IFERROR(INDEX(Players!$D$2:$D$301,$AE26),""))</f>
        <v/>
      </c>
      <c r="H26">
        <f>IF($AE26="","",IFERROR(INDEX(Players!$C$2:$C$301,$AE26),""))</f>
        <v/>
      </c>
      <c r="I26" s="12">
        <f>IF($AE26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-22+0.5)/3.5))))</f>
        <v/>
      </c>
      <c r="J26" s="12">
        <f>IF($AE26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-22+0.5)/3.5))))</f>
        <v/>
      </c>
      <c r="K26" s="13">
        <f>IF($AE26="","",IFERROR(INDEX(Players!$U$2:$U$301,$AE26),""))</f>
        <v/>
      </c>
      <c r="L26" s="13">
        <f>IF($AE26="","",IFERROR(INDEX(Players!$X$2:$X$301,$AE26),""))</f>
        <v/>
      </c>
      <c r="M26" s="14">
        <f>IF($AE26="","",IFERROR(INDEX(Players!$K$2:$K$301,$AE26),""))</f>
        <v/>
      </c>
      <c r="N26" s="14">
        <f>IF($AE26="","",IFERROR(INDEX(Players!$H$2:$H$301,$AE26),""))</f>
        <v/>
      </c>
      <c r="O26" s="15">
        <f>IF($AE26="","",IFERROR(INDEX(Players!$G$2:$G$301,$AE26),""))</f>
        <v/>
      </c>
      <c r="P26" s="14">
        <f>IF($AE26="","",IFERROR(INDEX(Players!$I$2:$I$301,$AE26),""))</f>
        <v/>
      </c>
      <c r="Q26" s="14">
        <f>IF($AE26="","",IFERROR(INDEX(Players!$F$2:$F$301,$AE26),""))</f>
        <v/>
      </c>
      <c r="R26" s="14">
        <f>IF($AE26="","",IFERROR(INDEX(Players!$J$2:$J$301,$AE26),""))</f>
        <v/>
      </c>
      <c r="S26" s="15">
        <f>IF($AE26="","",IFERROR(INDEX(Players!$L$2:$L$301,$AE26),""))</f>
        <v/>
      </c>
      <c r="T26" s="14">
        <f>IF($AE26="","",IFERROR(INDEX(Players!$M$2:$M$301,$AE26),""))</f>
        <v/>
      </c>
      <c r="U26" s="14">
        <f>IF($AE26="","",IFERROR(INDEX(Players!$N$2:$N$301,$AE26),""))</f>
        <v/>
      </c>
      <c r="V26" s="14">
        <f>IF($AE26="","",IFERROR(INDEX(Players!$O$2:$O$301,$AE26),""))</f>
        <v/>
      </c>
      <c r="W26" s="14">
        <f>IF($AE26="","",IFERROR(INDEX(Players!$P$2:$P$301,$AE26),""))</f>
        <v/>
      </c>
      <c r="X26" s="14">
        <f>IF($AE26="","",IFERROR(INDEX(Players!$Q$2:$Q$301,$AE26),""))</f>
        <v/>
      </c>
      <c r="Y26" s="14">
        <f>IF($AE26="","",IFERROR(INDEX(Players!$R$2:$R$301,$AE26),""))</f>
        <v/>
      </c>
      <c r="AA26" s="16" t="inlineStr">
        <is>
          <t>R</t>
        </is>
      </c>
      <c r="AB26" s="21">
        <f>IFERROR(INDEX(Players!$B$2:$B$301,MATCH(SUMPRODUCT(MAX((Players!$D$2:$D$301="R")*(Players!$V$2:$V$301))),Players!$V$2:$V$301,0)),"")</f>
        <v/>
      </c>
      <c r="AE26">
        <f>IFERROR(MATCH(LARGE(Players!$V$2:$V$301,22),Players!$V$2:$V$301,0),"")</f>
        <v/>
      </c>
    </row>
    <row r="27">
      <c r="A27" s="9" t="inlineStr">
        <is>
          <t>2.11</t>
        </is>
      </c>
      <c r="B27" s="18" t="inlineStr">
        <is>
          <t>Team 2</t>
        </is>
      </c>
      <c r="C27" s="19" t="n"/>
      <c r="E27" s="9" t="n">
        <v>23</v>
      </c>
      <c r="F27">
        <f>IF($AE27="","",IFERROR(INDEX(Players!$B$2:$B$301,$AE27),""))</f>
        <v/>
      </c>
      <c r="G27">
        <f>IF($AE27="","",IFERROR(INDEX(Players!$D$2:$D$301,$AE27),""))</f>
        <v/>
      </c>
      <c r="H27">
        <f>IF($AE27="","",IFERROR(INDEX(Players!$C$2:$C$301,$AE27),""))</f>
        <v/>
      </c>
      <c r="I27" s="12">
        <f>IF($AE27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-23+0.5)/3.5))))</f>
        <v/>
      </c>
      <c r="J27" s="12">
        <f>IF($AE27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-23+0.5)/3.5))))</f>
        <v/>
      </c>
      <c r="K27" s="13">
        <f>IF($AE27="","",IFERROR(INDEX(Players!$U$2:$U$301,$AE27),""))</f>
        <v/>
      </c>
      <c r="L27" s="13">
        <f>IF($AE27="","",IFERROR(INDEX(Players!$X$2:$X$301,$AE27),""))</f>
        <v/>
      </c>
      <c r="M27" s="14">
        <f>IF($AE27="","",IFERROR(INDEX(Players!$K$2:$K$301,$AE27),""))</f>
        <v/>
      </c>
      <c r="N27" s="14">
        <f>IF($AE27="","",IFERROR(INDEX(Players!$H$2:$H$301,$AE27),""))</f>
        <v/>
      </c>
      <c r="O27" s="15">
        <f>IF($AE27="","",IFERROR(INDEX(Players!$G$2:$G$301,$AE27),""))</f>
        <v/>
      </c>
      <c r="P27" s="14">
        <f>IF($AE27="","",IFERROR(INDEX(Players!$I$2:$I$301,$AE27),""))</f>
        <v/>
      </c>
      <c r="Q27" s="14">
        <f>IF($AE27="","",IFERROR(INDEX(Players!$F$2:$F$301,$AE27),""))</f>
        <v/>
      </c>
      <c r="R27" s="14">
        <f>IF($AE27="","",IFERROR(INDEX(Players!$J$2:$J$301,$AE27),""))</f>
        <v/>
      </c>
      <c r="S27" s="15">
        <f>IF($AE27="","",IFERROR(INDEX(Players!$L$2:$L$301,$AE27),""))</f>
        <v/>
      </c>
      <c r="T27" s="14">
        <f>IF($AE27="","",IFERROR(INDEX(Players!$M$2:$M$301,$AE27),""))</f>
        <v/>
      </c>
      <c r="U27" s="14">
        <f>IF($AE27="","",IFERROR(INDEX(Players!$N$2:$N$301,$AE27),""))</f>
        <v/>
      </c>
      <c r="V27" s="14">
        <f>IF($AE27="","",IFERROR(INDEX(Players!$O$2:$O$301,$AE27),""))</f>
        <v/>
      </c>
      <c r="W27" s="14">
        <f>IF($AE27="","",IFERROR(INDEX(Players!$P$2:$P$301,$AE27),""))</f>
        <v/>
      </c>
      <c r="X27" s="14">
        <f>IF($AE27="","",IFERROR(INDEX(Players!$Q$2:$Q$301,$AE27),""))</f>
        <v/>
      </c>
      <c r="Y27" s="14">
        <f>IF($AE27="","",IFERROR(INDEX(Players!$R$2:$R$301,$AE27),""))</f>
        <v/>
      </c>
      <c r="AA27" s="16" t="inlineStr">
        <is>
          <t>D</t>
        </is>
      </c>
      <c r="AB27" s="21">
        <f>IFERROR(INDEX(Players!$B$2:$B$301,MATCH(SUMPRODUCT(MAX((Players!$D$2:$D$301="D")*(Players!$V$2:$V$301))),Players!$V$2:$V$301,0)),"")</f>
        <v/>
      </c>
      <c r="AE27">
        <f>IFERROR(MATCH(LARGE(Players!$V$2:$V$301,23),Players!$V$2:$V$301,0),"")</f>
        <v/>
      </c>
    </row>
    <row r="28">
      <c r="A28" s="9" t="inlineStr">
        <is>
          <t>2.12</t>
        </is>
      </c>
      <c r="B28" s="10" t="inlineStr">
        <is>
          <t>Team 1</t>
        </is>
      </c>
      <c r="C28" s="11" t="n"/>
      <c r="E28" s="9" t="n">
        <v>24</v>
      </c>
      <c r="F28">
        <f>IF($AE28="","",IFERROR(INDEX(Players!$B$2:$B$301,$AE28),""))</f>
        <v/>
      </c>
      <c r="G28">
        <f>IF($AE28="","",IFERROR(INDEX(Players!$D$2:$D$301,$AE28),""))</f>
        <v/>
      </c>
      <c r="H28">
        <f>IF($AE28="","",IFERROR(INDEX(Players!$C$2:$C$301,$AE28),""))</f>
        <v/>
      </c>
      <c r="I28" s="12">
        <f>IF($AE28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-24+0.5)/3.5))))</f>
        <v/>
      </c>
      <c r="J28" s="12">
        <f>IF($AE28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-24+0.5)/3.5))))</f>
        <v/>
      </c>
      <c r="K28" s="13">
        <f>IF($AE28="","",IFERROR(INDEX(Players!$U$2:$U$301,$AE28),""))</f>
        <v/>
      </c>
      <c r="L28" s="13">
        <f>IF($AE28="","",IFERROR(INDEX(Players!$X$2:$X$301,$AE28),""))</f>
        <v/>
      </c>
      <c r="M28" s="14">
        <f>IF($AE28="","",IFERROR(INDEX(Players!$K$2:$K$301,$AE28),""))</f>
        <v/>
      </c>
      <c r="N28" s="14">
        <f>IF($AE28="","",IFERROR(INDEX(Players!$H$2:$H$301,$AE28),""))</f>
        <v/>
      </c>
      <c r="O28" s="15">
        <f>IF($AE28="","",IFERROR(INDEX(Players!$G$2:$G$301,$AE28),""))</f>
        <v/>
      </c>
      <c r="P28" s="14">
        <f>IF($AE28="","",IFERROR(INDEX(Players!$I$2:$I$301,$AE28),""))</f>
        <v/>
      </c>
      <c r="Q28" s="14">
        <f>IF($AE28="","",IFERROR(INDEX(Players!$F$2:$F$301,$AE28),""))</f>
        <v/>
      </c>
      <c r="R28" s="14">
        <f>IF($AE28="","",IFERROR(INDEX(Players!$J$2:$J$301,$AE28),""))</f>
        <v/>
      </c>
      <c r="S28" s="15">
        <f>IF($AE28="","",IFERROR(INDEX(Players!$L$2:$L$301,$AE28),""))</f>
        <v/>
      </c>
      <c r="T28" s="14">
        <f>IF($AE28="","",IFERROR(INDEX(Players!$M$2:$M$301,$AE28),""))</f>
        <v/>
      </c>
      <c r="U28" s="14">
        <f>IF($AE28="","",IFERROR(INDEX(Players!$N$2:$N$301,$AE28),""))</f>
        <v/>
      </c>
      <c r="V28" s="14">
        <f>IF($AE28="","",IFERROR(INDEX(Players!$O$2:$O$301,$AE28),""))</f>
        <v/>
      </c>
      <c r="W28" s="14">
        <f>IF($AE28="","",IFERROR(INDEX(Players!$P$2:$P$301,$AE28),""))</f>
        <v/>
      </c>
      <c r="X28" s="14">
        <f>IF($AE28="","",IFERROR(INDEX(Players!$Q$2:$Q$301,$AE28),""))</f>
        <v/>
      </c>
      <c r="Y28" s="14">
        <f>IF($AE28="","",IFERROR(INDEX(Players!$R$2:$R$301,$AE28),""))</f>
        <v/>
      </c>
      <c r="AA28" s="16" t="inlineStr">
        <is>
          <t>G</t>
        </is>
      </c>
      <c r="AB28" s="21">
        <f>IFERROR(INDEX(Players!$B$2:$B$301,MATCH(SUMPRODUCT(MAX((Players!$D$2:$D$301="G")*(Players!$V$2:$V$301))),Players!$V$2:$V$301,0)),"")</f>
        <v/>
      </c>
      <c r="AE28">
        <f>IFERROR(MATCH(LARGE(Players!$V$2:$V$301,24),Players!$V$2:$V$301,0),"")</f>
        <v/>
      </c>
    </row>
    <row r="29">
      <c r="A29" s="9" t="inlineStr">
        <is>
          <t>3.01</t>
        </is>
      </c>
      <c r="B29" s="10" t="inlineStr">
        <is>
          <t>Team 1</t>
        </is>
      </c>
      <c r="C29" s="11" t="n"/>
      <c r="E29" s="9" t="n">
        <v>25</v>
      </c>
      <c r="F29">
        <f>IF($AE29="","",IFERROR(INDEX(Players!$B$2:$B$301,$AE29),""))</f>
        <v/>
      </c>
      <c r="G29">
        <f>IF($AE29="","",IFERROR(INDEX(Players!$D$2:$D$301,$AE29),""))</f>
        <v/>
      </c>
      <c r="H29">
        <f>IF($AE29="","",IFERROR(INDEX(Players!$C$2:$C$301,$AE29),""))</f>
        <v/>
      </c>
      <c r="I29" s="12">
        <f>IF($AE29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-25+0.5)/3.5))))</f>
        <v/>
      </c>
      <c r="J29" s="12">
        <f>IF($AE29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-25+0.5)/3.5))))</f>
        <v/>
      </c>
      <c r="K29" s="13">
        <f>IF($AE29="","",IFERROR(INDEX(Players!$U$2:$U$301,$AE29),""))</f>
        <v/>
      </c>
      <c r="L29" s="13">
        <f>IF($AE29="","",IFERROR(INDEX(Players!$X$2:$X$301,$AE29),""))</f>
        <v/>
      </c>
      <c r="M29" s="14">
        <f>IF($AE29="","",IFERROR(INDEX(Players!$K$2:$K$301,$AE29),""))</f>
        <v/>
      </c>
      <c r="N29" s="14">
        <f>IF($AE29="","",IFERROR(INDEX(Players!$H$2:$H$301,$AE29),""))</f>
        <v/>
      </c>
      <c r="O29" s="15">
        <f>IF($AE29="","",IFERROR(INDEX(Players!$G$2:$G$301,$AE29),""))</f>
        <v/>
      </c>
      <c r="P29" s="14">
        <f>IF($AE29="","",IFERROR(INDEX(Players!$I$2:$I$301,$AE29),""))</f>
        <v/>
      </c>
      <c r="Q29" s="14">
        <f>IF($AE29="","",IFERROR(INDEX(Players!$F$2:$F$301,$AE29),""))</f>
        <v/>
      </c>
      <c r="R29" s="14">
        <f>IF($AE29="","",IFERROR(INDEX(Players!$J$2:$J$301,$AE29),""))</f>
        <v/>
      </c>
      <c r="S29" s="15">
        <f>IF($AE29="","",IFERROR(INDEX(Players!$L$2:$L$301,$AE29),""))</f>
        <v/>
      </c>
      <c r="T29" s="14">
        <f>IF($AE29="","",IFERROR(INDEX(Players!$M$2:$M$301,$AE29),""))</f>
        <v/>
      </c>
      <c r="U29" s="14">
        <f>IF($AE29="","",IFERROR(INDEX(Players!$N$2:$N$301,$AE29),""))</f>
        <v/>
      </c>
      <c r="V29" s="14">
        <f>IF($AE29="","",IFERROR(INDEX(Players!$O$2:$O$301,$AE29),""))</f>
        <v/>
      </c>
      <c r="W29" s="14">
        <f>IF($AE29="","",IFERROR(INDEX(Players!$P$2:$P$301,$AE29),""))</f>
        <v/>
      </c>
      <c r="X29" s="14">
        <f>IF($AE29="","",IFERROR(INDEX(Players!$Q$2:$Q$301,$AE29),""))</f>
        <v/>
      </c>
      <c r="Y29" s="14">
        <f>IF($AE29="","",IFERROR(INDEX(Players!$R$2:$R$301,$AE29),""))</f>
        <v/>
      </c>
      <c r="AE29">
        <f>IFERROR(MATCH(LARGE(Players!$V$2:$V$301,25),Players!$V$2:$V$301,0),"")</f>
        <v/>
      </c>
    </row>
    <row r="30">
      <c r="A30" s="9" t="inlineStr">
        <is>
          <t>3.02</t>
        </is>
      </c>
      <c r="B30" s="18" t="inlineStr">
        <is>
          <t>Team 2</t>
        </is>
      </c>
      <c r="C30" s="19" t="n"/>
      <c r="E30" s="9" t="n">
        <v>26</v>
      </c>
      <c r="F30">
        <f>IF($AE30="","",IFERROR(INDEX(Players!$B$2:$B$301,$AE30),""))</f>
        <v/>
      </c>
      <c r="G30">
        <f>IF($AE30="","",IFERROR(INDEX(Players!$D$2:$D$301,$AE30),""))</f>
        <v/>
      </c>
      <c r="H30">
        <f>IF($AE30="","",IFERROR(INDEX(Players!$C$2:$C$301,$AE30),""))</f>
        <v/>
      </c>
      <c r="I30" s="12">
        <f>IF($AE30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-26+0.5)/3.5))))</f>
        <v/>
      </c>
      <c r="J30" s="12">
        <f>IF($AE30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-26+0.5)/3.5))))</f>
        <v/>
      </c>
      <c r="K30" s="13">
        <f>IF($AE30="","",IFERROR(INDEX(Players!$U$2:$U$301,$AE30),""))</f>
        <v/>
      </c>
      <c r="L30" s="13">
        <f>IF($AE30="","",IFERROR(INDEX(Players!$X$2:$X$301,$AE30),""))</f>
        <v/>
      </c>
      <c r="M30" s="14">
        <f>IF($AE30="","",IFERROR(INDEX(Players!$K$2:$K$301,$AE30),""))</f>
        <v/>
      </c>
      <c r="N30" s="14">
        <f>IF($AE30="","",IFERROR(INDEX(Players!$H$2:$H$301,$AE30),""))</f>
        <v/>
      </c>
      <c r="O30" s="15">
        <f>IF($AE30="","",IFERROR(INDEX(Players!$G$2:$G$301,$AE30),""))</f>
        <v/>
      </c>
      <c r="P30" s="14">
        <f>IF($AE30="","",IFERROR(INDEX(Players!$I$2:$I$301,$AE30),""))</f>
        <v/>
      </c>
      <c r="Q30" s="14">
        <f>IF($AE30="","",IFERROR(INDEX(Players!$F$2:$F$301,$AE30),""))</f>
        <v/>
      </c>
      <c r="R30" s="14">
        <f>IF($AE30="","",IFERROR(INDEX(Players!$J$2:$J$301,$AE30),""))</f>
        <v/>
      </c>
      <c r="S30" s="15">
        <f>IF($AE30="","",IFERROR(INDEX(Players!$L$2:$L$301,$AE30),""))</f>
        <v/>
      </c>
      <c r="T30" s="14">
        <f>IF($AE30="","",IFERROR(INDEX(Players!$M$2:$M$301,$AE30),""))</f>
        <v/>
      </c>
      <c r="U30" s="14">
        <f>IF($AE30="","",IFERROR(INDEX(Players!$N$2:$N$301,$AE30),""))</f>
        <v/>
      </c>
      <c r="V30" s="14">
        <f>IF($AE30="","",IFERROR(INDEX(Players!$O$2:$O$301,$AE30),""))</f>
        <v/>
      </c>
      <c r="W30" s="14">
        <f>IF($AE30="","",IFERROR(INDEX(Players!$P$2:$P$301,$AE30),""))</f>
        <v/>
      </c>
      <c r="X30" s="14">
        <f>IF($AE30="","",IFERROR(INDEX(Players!$Q$2:$Q$301,$AE30),""))</f>
        <v/>
      </c>
      <c r="Y30" s="14">
        <f>IF($AE30="","",IFERROR(INDEX(Players!$R$2:$R$301,$AE30),""))</f>
        <v/>
      </c>
      <c r="AE30">
        <f>IFERROR(MATCH(LARGE(Players!$V$2:$V$301,26),Players!$V$2:$V$301,0),"")</f>
        <v/>
      </c>
    </row>
    <row r="31">
      <c r="A31" s="9" t="inlineStr">
        <is>
          <t>3.03</t>
        </is>
      </c>
      <c r="B31" s="18" t="inlineStr">
        <is>
          <t>Team 3</t>
        </is>
      </c>
      <c r="C31" s="19" t="n"/>
      <c r="E31" s="9" t="n">
        <v>27</v>
      </c>
      <c r="F31">
        <f>IF($AE31="","",IFERROR(INDEX(Players!$B$2:$B$301,$AE31),""))</f>
        <v/>
      </c>
      <c r="G31">
        <f>IF($AE31="","",IFERROR(INDEX(Players!$D$2:$D$301,$AE31),""))</f>
        <v/>
      </c>
      <c r="H31">
        <f>IF($AE31="","",IFERROR(INDEX(Players!$C$2:$C$301,$AE31),""))</f>
        <v/>
      </c>
      <c r="I31" s="12">
        <f>IF($AE31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-27+0.5)/3.5))))</f>
        <v/>
      </c>
      <c r="J31" s="12">
        <f>IF($AE31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-27+0.5)/3.5))))</f>
        <v/>
      </c>
      <c r="K31" s="13">
        <f>IF($AE31="","",IFERROR(INDEX(Players!$U$2:$U$301,$AE31),""))</f>
        <v/>
      </c>
      <c r="L31" s="13">
        <f>IF($AE31="","",IFERROR(INDEX(Players!$X$2:$X$301,$AE31),""))</f>
        <v/>
      </c>
      <c r="M31" s="14">
        <f>IF($AE31="","",IFERROR(INDEX(Players!$K$2:$K$301,$AE31),""))</f>
        <v/>
      </c>
      <c r="N31" s="14">
        <f>IF($AE31="","",IFERROR(INDEX(Players!$H$2:$H$301,$AE31),""))</f>
        <v/>
      </c>
      <c r="O31" s="15">
        <f>IF($AE31="","",IFERROR(INDEX(Players!$G$2:$G$301,$AE31),""))</f>
        <v/>
      </c>
      <c r="P31" s="14">
        <f>IF($AE31="","",IFERROR(INDEX(Players!$I$2:$I$301,$AE31),""))</f>
        <v/>
      </c>
      <c r="Q31" s="14">
        <f>IF($AE31="","",IFERROR(INDEX(Players!$F$2:$F$301,$AE31),""))</f>
        <v/>
      </c>
      <c r="R31" s="14">
        <f>IF($AE31="","",IFERROR(INDEX(Players!$J$2:$J$301,$AE31),""))</f>
        <v/>
      </c>
      <c r="S31" s="15">
        <f>IF($AE31="","",IFERROR(INDEX(Players!$L$2:$L$301,$AE31),""))</f>
        <v/>
      </c>
      <c r="T31" s="14">
        <f>IF($AE31="","",IFERROR(INDEX(Players!$M$2:$M$301,$AE31),""))</f>
        <v/>
      </c>
      <c r="U31" s="14">
        <f>IF($AE31="","",IFERROR(INDEX(Players!$N$2:$N$301,$AE31),""))</f>
        <v/>
      </c>
      <c r="V31" s="14">
        <f>IF($AE31="","",IFERROR(INDEX(Players!$O$2:$O$301,$AE31),""))</f>
        <v/>
      </c>
      <c r="W31" s="14">
        <f>IF($AE31="","",IFERROR(INDEX(Players!$P$2:$P$301,$AE31),""))</f>
        <v/>
      </c>
      <c r="X31" s="14">
        <f>IF($AE31="","",IFERROR(INDEX(Players!$Q$2:$Q$301,$AE31),""))</f>
        <v/>
      </c>
      <c r="Y31" s="14">
        <f>IF($AE31="","",IFERROR(INDEX(Players!$R$2:$R$301,$AE31),""))</f>
        <v/>
      </c>
      <c r="AA31" s="10" t="inlineStr">
        <is>
          <t>YOUR PICKS (Team 1)</t>
        </is>
      </c>
      <c r="AE31">
        <f>IFERROR(MATCH(LARGE(Players!$V$2:$V$301,27),Players!$V$2:$V$301,0),"")</f>
        <v/>
      </c>
    </row>
    <row r="32">
      <c r="A32" s="9" t="inlineStr">
        <is>
          <t>3.04</t>
        </is>
      </c>
      <c r="B32" s="18" t="inlineStr">
        <is>
          <t>Team 4</t>
        </is>
      </c>
      <c r="C32" s="19" t="n"/>
      <c r="E32" s="9" t="n">
        <v>28</v>
      </c>
      <c r="F32">
        <f>IF($AE32="","",IFERROR(INDEX(Players!$B$2:$B$301,$AE32),""))</f>
        <v/>
      </c>
      <c r="G32">
        <f>IF($AE32="","",IFERROR(INDEX(Players!$D$2:$D$301,$AE32),""))</f>
        <v/>
      </c>
      <c r="H32">
        <f>IF($AE32="","",IFERROR(INDEX(Players!$C$2:$C$301,$AE32),""))</f>
        <v/>
      </c>
      <c r="I32" s="12">
        <f>IF($AE32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-28+0.5)/3.5))))</f>
        <v/>
      </c>
      <c r="J32" s="12">
        <f>IF($AE32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-28+0.5)/3.5))))</f>
        <v/>
      </c>
      <c r="K32" s="13">
        <f>IF($AE32="","",IFERROR(INDEX(Players!$U$2:$U$301,$AE32),""))</f>
        <v/>
      </c>
      <c r="L32" s="13">
        <f>IF($AE32="","",IFERROR(INDEX(Players!$X$2:$X$301,$AE32),""))</f>
        <v/>
      </c>
      <c r="M32" s="14">
        <f>IF($AE32="","",IFERROR(INDEX(Players!$K$2:$K$301,$AE32),""))</f>
        <v/>
      </c>
      <c r="N32" s="14">
        <f>IF($AE32="","",IFERROR(INDEX(Players!$H$2:$H$301,$AE32),""))</f>
        <v/>
      </c>
      <c r="O32" s="15">
        <f>IF($AE32="","",IFERROR(INDEX(Players!$G$2:$G$301,$AE32),""))</f>
        <v/>
      </c>
      <c r="P32" s="14">
        <f>IF($AE32="","",IFERROR(INDEX(Players!$I$2:$I$301,$AE32),""))</f>
        <v/>
      </c>
      <c r="Q32" s="14">
        <f>IF($AE32="","",IFERROR(INDEX(Players!$F$2:$F$301,$AE32),""))</f>
        <v/>
      </c>
      <c r="R32" s="14">
        <f>IF($AE32="","",IFERROR(INDEX(Players!$J$2:$J$301,$AE32),""))</f>
        <v/>
      </c>
      <c r="S32" s="15">
        <f>IF($AE32="","",IFERROR(INDEX(Players!$L$2:$L$301,$AE32),""))</f>
        <v/>
      </c>
      <c r="T32" s="14">
        <f>IF($AE32="","",IFERROR(INDEX(Players!$M$2:$M$301,$AE32),""))</f>
        <v/>
      </c>
      <c r="U32" s="14">
        <f>IF($AE32="","",IFERROR(INDEX(Players!$N$2:$N$301,$AE32),""))</f>
        <v/>
      </c>
      <c r="V32" s="14">
        <f>IF($AE32="","",IFERROR(INDEX(Players!$O$2:$O$301,$AE32),""))</f>
        <v/>
      </c>
      <c r="W32" s="14">
        <f>IF($AE32="","",IFERROR(INDEX(Players!$P$2:$P$301,$AE32),""))</f>
        <v/>
      </c>
      <c r="X32" s="14">
        <f>IF($AE32="","",IFERROR(INDEX(Players!$Q$2:$Q$301,$AE32),""))</f>
        <v/>
      </c>
      <c r="Y32" s="14">
        <f>IF($AE32="","",IFERROR(INDEX(Players!$R$2:$R$301,$AE32),""))</f>
        <v/>
      </c>
      <c r="AA32" s="9" t="inlineStr">
        <is>
          <t>R1</t>
        </is>
      </c>
      <c r="AB32" s="21">
        <f>IF(INDEX(Draft!$C$5:$C$196,1)="","",INDEX(Draft!$C$5:$C$196,1))</f>
        <v/>
      </c>
      <c r="AE32">
        <f>IFERROR(MATCH(LARGE(Players!$V$2:$V$301,28),Players!$V$2:$V$301,0),"")</f>
        <v/>
      </c>
    </row>
    <row r="33">
      <c r="A33" s="9" t="inlineStr">
        <is>
          <t>3.05</t>
        </is>
      </c>
      <c r="B33" s="18" t="inlineStr">
        <is>
          <t>Team 5</t>
        </is>
      </c>
      <c r="C33" s="19" t="n"/>
      <c r="E33" s="9" t="n">
        <v>29</v>
      </c>
      <c r="F33">
        <f>IF($AE33="","",IFERROR(INDEX(Players!$B$2:$B$301,$AE33),""))</f>
        <v/>
      </c>
      <c r="G33">
        <f>IF($AE33="","",IFERROR(INDEX(Players!$D$2:$D$301,$AE33),""))</f>
        <v/>
      </c>
      <c r="H33">
        <f>IF($AE33="","",IFERROR(INDEX(Players!$C$2:$C$301,$AE33),""))</f>
        <v/>
      </c>
      <c r="I33" s="12">
        <f>IF($AE33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-29+0.5)/3.5))))</f>
        <v/>
      </c>
      <c r="J33" s="12">
        <f>IF($AE33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-29+0.5)/3.5))))</f>
        <v/>
      </c>
      <c r="K33" s="13">
        <f>IF($AE33="","",IFERROR(INDEX(Players!$U$2:$U$301,$AE33),""))</f>
        <v/>
      </c>
      <c r="L33" s="13">
        <f>IF($AE33="","",IFERROR(INDEX(Players!$X$2:$X$301,$AE33),""))</f>
        <v/>
      </c>
      <c r="M33" s="14">
        <f>IF($AE33="","",IFERROR(INDEX(Players!$K$2:$K$301,$AE33),""))</f>
        <v/>
      </c>
      <c r="N33" s="14">
        <f>IF($AE33="","",IFERROR(INDEX(Players!$H$2:$H$301,$AE33),""))</f>
        <v/>
      </c>
      <c r="O33" s="15">
        <f>IF($AE33="","",IFERROR(INDEX(Players!$G$2:$G$301,$AE33),""))</f>
        <v/>
      </c>
      <c r="P33" s="14">
        <f>IF($AE33="","",IFERROR(INDEX(Players!$I$2:$I$301,$AE33),""))</f>
        <v/>
      </c>
      <c r="Q33" s="14">
        <f>IF($AE33="","",IFERROR(INDEX(Players!$F$2:$F$301,$AE33),""))</f>
        <v/>
      </c>
      <c r="R33" s="14">
        <f>IF($AE33="","",IFERROR(INDEX(Players!$J$2:$J$301,$AE33),""))</f>
        <v/>
      </c>
      <c r="S33" s="15">
        <f>IF($AE33="","",IFERROR(INDEX(Players!$L$2:$L$301,$AE33),""))</f>
        <v/>
      </c>
      <c r="T33" s="14">
        <f>IF($AE33="","",IFERROR(INDEX(Players!$M$2:$M$301,$AE33),""))</f>
        <v/>
      </c>
      <c r="U33" s="14">
        <f>IF($AE33="","",IFERROR(INDEX(Players!$N$2:$N$301,$AE33),""))</f>
        <v/>
      </c>
      <c r="V33" s="14">
        <f>IF($AE33="","",IFERROR(INDEX(Players!$O$2:$O$301,$AE33),""))</f>
        <v/>
      </c>
      <c r="W33" s="14">
        <f>IF($AE33="","",IFERROR(INDEX(Players!$P$2:$P$301,$AE33),""))</f>
        <v/>
      </c>
      <c r="X33" s="14">
        <f>IF($AE33="","",IFERROR(INDEX(Players!$Q$2:$Q$301,$AE33),""))</f>
        <v/>
      </c>
      <c r="Y33" s="14">
        <f>IF($AE33="","",IFERROR(INDEX(Players!$R$2:$R$301,$AE33),""))</f>
        <v/>
      </c>
      <c r="AA33" s="9" t="inlineStr">
        <is>
          <t>R2</t>
        </is>
      </c>
      <c r="AB33" s="21">
        <f>IF(INDEX(Draft!$C$5:$C$196,24)="","",INDEX(Draft!$C$5:$C$196,24))</f>
        <v/>
      </c>
      <c r="AE33">
        <f>IFERROR(MATCH(LARGE(Players!$V$2:$V$301,29),Players!$V$2:$V$301,0),"")</f>
        <v/>
      </c>
    </row>
    <row r="34">
      <c r="A34" s="9" t="inlineStr">
        <is>
          <t>3.06</t>
        </is>
      </c>
      <c r="B34" s="18" t="inlineStr">
        <is>
          <t>Team 6</t>
        </is>
      </c>
      <c r="C34" s="19" t="n"/>
      <c r="E34" s="9" t="n">
        <v>30</v>
      </c>
      <c r="F34">
        <f>IF($AE34="","",IFERROR(INDEX(Players!$B$2:$B$301,$AE34),""))</f>
        <v/>
      </c>
      <c r="G34">
        <f>IF($AE34="","",IFERROR(INDEX(Players!$D$2:$D$301,$AE34),""))</f>
        <v/>
      </c>
      <c r="H34">
        <f>IF($AE34="","",IFERROR(INDEX(Players!$C$2:$C$301,$AE34),""))</f>
        <v/>
      </c>
      <c r="I34" s="12">
        <f>IF($AE34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-30+0.5)/3.5))))</f>
        <v/>
      </c>
      <c r="J34" s="12">
        <f>IF($AE34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-30+0.5)/3.5))))</f>
        <v/>
      </c>
      <c r="K34" s="13">
        <f>IF($AE34="","",IFERROR(INDEX(Players!$U$2:$U$301,$AE34),""))</f>
        <v/>
      </c>
      <c r="L34" s="13">
        <f>IF($AE34="","",IFERROR(INDEX(Players!$X$2:$X$301,$AE34),""))</f>
        <v/>
      </c>
      <c r="M34" s="14">
        <f>IF($AE34="","",IFERROR(INDEX(Players!$K$2:$K$301,$AE34),""))</f>
        <v/>
      </c>
      <c r="N34" s="14">
        <f>IF($AE34="","",IFERROR(INDEX(Players!$H$2:$H$301,$AE34),""))</f>
        <v/>
      </c>
      <c r="O34" s="15">
        <f>IF($AE34="","",IFERROR(INDEX(Players!$G$2:$G$301,$AE34),""))</f>
        <v/>
      </c>
      <c r="P34" s="14">
        <f>IF($AE34="","",IFERROR(INDEX(Players!$I$2:$I$301,$AE34),""))</f>
        <v/>
      </c>
      <c r="Q34" s="14">
        <f>IF($AE34="","",IFERROR(INDEX(Players!$F$2:$F$301,$AE34),""))</f>
        <v/>
      </c>
      <c r="R34" s="14">
        <f>IF($AE34="","",IFERROR(INDEX(Players!$J$2:$J$301,$AE34),""))</f>
        <v/>
      </c>
      <c r="S34" s="15">
        <f>IF($AE34="","",IFERROR(INDEX(Players!$L$2:$L$301,$AE34),""))</f>
        <v/>
      </c>
      <c r="T34" s="14">
        <f>IF($AE34="","",IFERROR(INDEX(Players!$M$2:$M$301,$AE34),""))</f>
        <v/>
      </c>
      <c r="U34" s="14">
        <f>IF($AE34="","",IFERROR(INDEX(Players!$N$2:$N$301,$AE34),""))</f>
        <v/>
      </c>
      <c r="V34" s="14">
        <f>IF($AE34="","",IFERROR(INDEX(Players!$O$2:$O$301,$AE34),""))</f>
        <v/>
      </c>
      <c r="W34" s="14">
        <f>IF($AE34="","",IFERROR(INDEX(Players!$P$2:$P$301,$AE34),""))</f>
        <v/>
      </c>
      <c r="X34" s="14">
        <f>IF($AE34="","",IFERROR(INDEX(Players!$Q$2:$Q$301,$AE34),""))</f>
        <v/>
      </c>
      <c r="Y34" s="14">
        <f>IF($AE34="","",IFERROR(INDEX(Players!$R$2:$R$301,$AE34),""))</f>
        <v/>
      </c>
      <c r="AA34" s="9" t="inlineStr">
        <is>
          <t>R3</t>
        </is>
      </c>
      <c r="AB34" s="21">
        <f>IF(INDEX(Draft!$C$5:$C$196,25)="","",INDEX(Draft!$C$5:$C$196,25))</f>
        <v/>
      </c>
      <c r="AE34">
        <f>IFERROR(MATCH(LARGE(Players!$V$2:$V$301,30),Players!$V$2:$V$301,0),"")</f>
        <v/>
      </c>
    </row>
    <row r="35">
      <c r="A35" s="9" t="inlineStr">
        <is>
          <t>3.07</t>
        </is>
      </c>
      <c r="B35" s="18" t="inlineStr">
        <is>
          <t>Team 7</t>
        </is>
      </c>
      <c r="C35" s="19" t="n"/>
      <c r="E35" s="9" t="n">
        <v>31</v>
      </c>
      <c r="F35">
        <f>IF($AE35="","",IFERROR(INDEX(Players!$B$2:$B$301,$AE35),""))</f>
        <v/>
      </c>
      <c r="G35">
        <f>IF($AE35="","",IFERROR(INDEX(Players!$D$2:$D$301,$AE35),""))</f>
        <v/>
      </c>
      <c r="H35">
        <f>IF($AE35="","",IFERROR(INDEX(Players!$C$2:$C$301,$AE35),""))</f>
        <v/>
      </c>
      <c r="I35" s="12">
        <f>IF($AE35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-31+0.5)/3.5))))</f>
        <v/>
      </c>
      <c r="J35" s="12">
        <f>IF($AE35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-31+0.5)/3.5))))</f>
        <v/>
      </c>
      <c r="K35" s="13">
        <f>IF($AE35="","",IFERROR(INDEX(Players!$U$2:$U$301,$AE35),""))</f>
        <v/>
      </c>
      <c r="L35" s="13">
        <f>IF($AE35="","",IFERROR(INDEX(Players!$X$2:$X$301,$AE35),""))</f>
        <v/>
      </c>
      <c r="M35" s="14">
        <f>IF($AE35="","",IFERROR(INDEX(Players!$K$2:$K$301,$AE35),""))</f>
        <v/>
      </c>
      <c r="N35" s="14">
        <f>IF($AE35="","",IFERROR(INDEX(Players!$H$2:$H$301,$AE35),""))</f>
        <v/>
      </c>
      <c r="O35" s="15">
        <f>IF($AE35="","",IFERROR(INDEX(Players!$G$2:$G$301,$AE35),""))</f>
        <v/>
      </c>
      <c r="P35" s="14">
        <f>IF($AE35="","",IFERROR(INDEX(Players!$I$2:$I$301,$AE35),""))</f>
        <v/>
      </c>
      <c r="Q35" s="14">
        <f>IF($AE35="","",IFERROR(INDEX(Players!$F$2:$F$301,$AE35),""))</f>
        <v/>
      </c>
      <c r="R35" s="14">
        <f>IF($AE35="","",IFERROR(INDEX(Players!$J$2:$J$301,$AE35),""))</f>
        <v/>
      </c>
      <c r="S35" s="15">
        <f>IF($AE35="","",IFERROR(INDEX(Players!$L$2:$L$301,$AE35),""))</f>
        <v/>
      </c>
      <c r="T35" s="14">
        <f>IF($AE35="","",IFERROR(INDEX(Players!$M$2:$M$301,$AE35),""))</f>
        <v/>
      </c>
      <c r="U35" s="14">
        <f>IF($AE35="","",IFERROR(INDEX(Players!$N$2:$N$301,$AE35),""))</f>
        <v/>
      </c>
      <c r="V35" s="14">
        <f>IF($AE35="","",IFERROR(INDEX(Players!$O$2:$O$301,$AE35),""))</f>
        <v/>
      </c>
      <c r="W35" s="14">
        <f>IF($AE35="","",IFERROR(INDEX(Players!$P$2:$P$301,$AE35),""))</f>
        <v/>
      </c>
      <c r="X35" s="14">
        <f>IF($AE35="","",IFERROR(INDEX(Players!$Q$2:$Q$301,$AE35),""))</f>
        <v/>
      </c>
      <c r="Y35" s="14">
        <f>IF($AE35="","",IFERROR(INDEX(Players!$R$2:$R$301,$AE35),""))</f>
        <v/>
      </c>
      <c r="AA35" s="9" t="inlineStr">
        <is>
          <t>R4</t>
        </is>
      </c>
      <c r="AB35" s="21">
        <f>IF(INDEX(Draft!$C$5:$C$196,48)="","",INDEX(Draft!$C$5:$C$196,48))</f>
        <v/>
      </c>
      <c r="AE35">
        <f>IFERROR(MATCH(LARGE(Players!$V$2:$V$301,31),Players!$V$2:$V$301,0),"")</f>
        <v/>
      </c>
    </row>
    <row r="36">
      <c r="A36" s="9" t="inlineStr">
        <is>
          <t>3.08</t>
        </is>
      </c>
      <c r="B36" s="18" t="inlineStr">
        <is>
          <t>Team 8</t>
        </is>
      </c>
      <c r="C36" s="19" t="n"/>
      <c r="E36" s="9" t="n">
        <v>32</v>
      </c>
      <c r="F36">
        <f>IF($AE36="","",IFERROR(INDEX(Players!$B$2:$B$301,$AE36),""))</f>
        <v/>
      </c>
      <c r="G36">
        <f>IF($AE36="","",IFERROR(INDEX(Players!$D$2:$D$301,$AE36),""))</f>
        <v/>
      </c>
      <c r="H36">
        <f>IF($AE36="","",IFERROR(INDEX(Players!$C$2:$C$301,$AE36),""))</f>
        <v/>
      </c>
      <c r="I36" s="12">
        <f>IF($AE36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-32+0.5)/3.5))))</f>
        <v/>
      </c>
      <c r="J36" s="12">
        <f>IF($AE36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-32+0.5)/3.5))))</f>
        <v/>
      </c>
      <c r="K36" s="13">
        <f>IF($AE36="","",IFERROR(INDEX(Players!$U$2:$U$301,$AE36),""))</f>
        <v/>
      </c>
      <c r="L36" s="13">
        <f>IF($AE36="","",IFERROR(INDEX(Players!$X$2:$X$301,$AE36),""))</f>
        <v/>
      </c>
      <c r="M36" s="14">
        <f>IF($AE36="","",IFERROR(INDEX(Players!$K$2:$K$301,$AE36),""))</f>
        <v/>
      </c>
      <c r="N36" s="14">
        <f>IF($AE36="","",IFERROR(INDEX(Players!$H$2:$H$301,$AE36),""))</f>
        <v/>
      </c>
      <c r="O36" s="15">
        <f>IF($AE36="","",IFERROR(INDEX(Players!$G$2:$G$301,$AE36),""))</f>
        <v/>
      </c>
      <c r="P36" s="14">
        <f>IF($AE36="","",IFERROR(INDEX(Players!$I$2:$I$301,$AE36),""))</f>
        <v/>
      </c>
      <c r="Q36" s="14">
        <f>IF($AE36="","",IFERROR(INDEX(Players!$F$2:$F$301,$AE36),""))</f>
        <v/>
      </c>
      <c r="R36" s="14">
        <f>IF($AE36="","",IFERROR(INDEX(Players!$J$2:$J$301,$AE36),""))</f>
        <v/>
      </c>
      <c r="S36" s="15">
        <f>IF($AE36="","",IFERROR(INDEX(Players!$L$2:$L$301,$AE36),""))</f>
        <v/>
      </c>
      <c r="T36" s="14">
        <f>IF($AE36="","",IFERROR(INDEX(Players!$M$2:$M$301,$AE36),""))</f>
        <v/>
      </c>
      <c r="U36" s="14">
        <f>IF($AE36="","",IFERROR(INDEX(Players!$N$2:$N$301,$AE36),""))</f>
        <v/>
      </c>
      <c r="V36" s="14">
        <f>IF($AE36="","",IFERROR(INDEX(Players!$O$2:$O$301,$AE36),""))</f>
        <v/>
      </c>
      <c r="W36" s="14">
        <f>IF($AE36="","",IFERROR(INDEX(Players!$P$2:$P$301,$AE36),""))</f>
        <v/>
      </c>
      <c r="X36" s="14">
        <f>IF($AE36="","",IFERROR(INDEX(Players!$Q$2:$Q$301,$AE36),""))</f>
        <v/>
      </c>
      <c r="Y36" s="14">
        <f>IF($AE36="","",IFERROR(INDEX(Players!$R$2:$R$301,$AE36),""))</f>
        <v/>
      </c>
      <c r="AA36" s="9" t="inlineStr">
        <is>
          <t>R5</t>
        </is>
      </c>
      <c r="AB36" s="21">
        <f>IF(INDEX(Draft!$C$5:$C$196,49)="","",INDEX(Draft!$C$5:$C$196,49))</f>
        <v/>
      </c>
      <c r="AE36">
        <f>IFERROR(MATCH(LARGE(Players!$V$2:$V$301,32),Players!$V$2:$V$301,0),"")</f>
        <v/>
      </c>
    </row>
    <row r="37">
      <c r="A37" s="9" t="inlineStr">
        <is>
          <t>3.09</t>
        </is>
      </c>
      <c r="B37" s="18" t="inlineStr">
        <is>
          <t>Team 9</t>
        </is>
      </c>
      <c r="C37" s="19" t="n"/>
      <c r="E37" s="9" t="n">
        <v>33</v>
      </c>
      <c r="F37">
        <f>IF($AE37="","",IFERROR(INDEX(Players!$B$2:$B$301,$AE37),""))</f>
        <v/>
      </c>
      <c r="G37">
        <f>IF($AE37="","",IFERROR(INDEX(Players!$D$2:$D$301,$AE37),""))</f>
        <v/>
      </c>
      <c r="H37">
        <f>IF($AE37="","",IFERROR(INDEX(Players!$C$2:$C$301,$AE37),""))</f>
        <v/>
      </c>
      <c r="I37" s="12">
        <f>IF($AE37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-33+0.5)/3.5))))</f>
        <v/>
      </c>
      <c r="J37" s="12">
        <f>IF($AE37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-33+0.5)/3.5))))</f>
        <v/>
      </c>
      <c r="K37" s="13">
        <f>IF($AE37="","",IFERROR(INDEX(Players!$U$2:$U$301,$AE37),""))</f>
        <v/>
      </c>
      <c r="L37" s="13">
        <f>IF($AE37="","",IFERROR(INDEX(Players!$X$2:$X$301,$AE37),""))</f>
        <v/>
      </c>
      <c r="M37" s="14">
        <f>IF($AE37="","",IFERROR(INDEX(Players!$K$2:$K$301,$AE37),""))</f>
        <v/>
      </c>
      <c r="N37" s="14">
        <f>IF($AE37="","",IFERROR(INDEX(Players!$H$2:$H$301,$AE37),""))</f>
        <v/>
      </c>
      <c r="O37" s="15">
        <f>IF($AE37="","",IFERROR(INDEX(Players!$G$2:$G$301,$AE37),""))</f>
        <v/>
      </c>
      <c r="P37" s="14">
        <f>IF($AE37="","",IFERROR(INDEX(Players!$I$2:$I$301,$AE37),""))</f>
        <v/>
      </c>
      <c r="Q37" s="14">
        <f>IF($AE37="","",IFERROR(INDEX(Players!$F$2:$F$301,$AE37),""))</f>
        <v/>
      </c>
      <c r="R37" s="14">
        <f>IF($AE37="","",IFERROR(INDEX(Players!$J$2:$J$301,$AE37),""))</f>
        <v/>
      </c>
      <c r="S37" s="15">
        <f>IF($AE37="","",IFERROR(INDEX(Players!$L$2:$L$301,$AE37),""))</f>
        <v/>
      </c>
      <c r="T37" s="14">
        <f>IF($AE37="","",IFERROR(INDEX(Players!$M$2:$M$301,$AE37),""))</f>
        <v/>
      </c>
      <c r="U37" s="14">
        <f>IF($AE37="","",IFERROR(INDEX(Players!$N$2:$N$301,$AE37),""))</f>
        <v/>
      </c>
      <c r="V37" s="14">
        <f>IF($AE37="","",IFERROR(INDEX(Players!$O$2:$O$301,$AE37),""))</f>
        <v/>
      </c>
      <c r="W37" s="14">
        <f>IF($AE37="","",IFERROR(INDEX(Players!$P$2:$P$301,$AE37),""))</f>
        <v/>
      </c>
      <c r="X37" s="14">
        <f>IF($AE37="","",IFERROR(INDEX(Players!$Q$2:$Q$301,$AE37),""))</f>
        <v/>
      </c>
      <c r="Y37" s="14">
        <f>IF($AE37="","",IFERROR(INDEX(Players!$R$2:$R$301,$AE37),""))</f>
        <v/>
      </c>
      <c r="AA37" s="9" t="inlineStr">
        <is>
          <t>R6</t>
        </is>
      </c>
      <c r="AB37" s="21">
        <f>IF(INDEX(Draft!$C$5:$C$196,72)="","",INDEX(Draft!$C$5:$C$196,72))</f>
        <v/>
      </c>
      <c r="AE37">
        <f>IFERROR(MATCH(LARGE(Players!$V$2:$V$301,33),Players!$V$2:$V$301,0),"")</f>
        <v/>
      </c>
    </row>
    <row r="38">
      <c r="A38" s="9" t="inlineStr">
        <is>
          <t>3.10</t>
        </is>
      </c>
      <c r="B38" s="18" t="inlineStr">
        <is>
          <t>Team 10</t>
        </is>
      </c>
      <c r="C38" s="19" t="n"/>
      <c r="E38" s="9" t="n">
        <v>34</v>
      </c>
      <c r="F38">
        <f>IF($AE38="","",IFERROR(INDEX(Players!$B$2:$B$301,$AE38),""))</f>
        <v/>
      </c>
      <c r="G38">
        <f>IF($AE38="","",IFERROR(INDEX(Players!$D$2:$D$301,$AE38),""))</f>
        <v/>
      </c>
      <c r="H38">
        <f>IF($AE38="","",IFERROR(INDEX(Players!$C$2:$C$301,$AE38),""))</f>
        <v/>
      </c>
      <c r="I38" s="12">
        <f>IF($AE38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-34+0.5)/3.5))))</f>
        <v/>
      </c>
      <c r="J38" s="12">
        <f>IF($AE38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-34+0.5)/3.5))))</f>
        <v/>
      </c>
      <c r="K38" s="13">
        <f>IF($AE38="","",IFERROR(INDEX(Players!$U$2:$U$301,$AE38),""))</f>
        <v/>
      </c>
      <c r="L38" s="13">
        <f>IF($AE38="","",IFERROR(INDEX(Players!$X$2:$X$301,$AE38),""))</f>
        <v/>
      </c>
      <c r="M38" s="14">
        <f>IF($AE38="","",IFERROR(INDEX(Players!$K$2:$K$301,$AE38),""))</f>
        <v/>
      </c>
      <c r="N38" s="14">
        <f>IF($AE38="","",IFERROR(INDEX(Players!$H$2:$H$301,$AE38),""))</f>
        <v/>
      </c>
      <c r="O38" s="15">
        <f>IF($AE38="","",IFERROR(INDEX(Players!$G$2:$G$301,$AE38),""))</f>
        <v/>
      </c>
      <c r="P38" s="14">
        <f>IF($AE38="","",IFERROR(INDEX(Players!$I$2:$I$301,$AE38),""))</f>
        <v/>
      </c>
      <c r="Q38" s="14">
        <f>IF($AE38="","",IFERROR(INDEX(Players!$F$2:$F$301,$AE38),""))</f>
        <v/>
      </c>
      <c r="R38" s="14">
        <f>IF($AE38="","",IFERROR(INDEX(Players!$J$2:$J$301,$AE38),""))</f>
        <v/>
      </c>
      <c r="S38" s="15">
        <f>IF($AE38="","",IFERROR(INDEX(Players!$L$2:$L$301,$AE38),""))</f>
        <v/>
      </c>
      <c r="T38" s="14">
        <f>IF($AE38="","",IFERROR(INDEX(Players!$M$2:$M$301,$AE38),""))</f>
        <v/>
      </c>
      <c r="U38" s="14">
        <f>IF($AE38="","",IFERROR(INDEX(Players!$N$2:$N$301,$AE38),""))</f>
        <v/>
      </c>
      <c r="V38" s="14">
        <f>IF($AE38="","",IFERROR(INDEX(Players!$O$2:$O$301,$AE38),""))</f>
        <v/>
      </c>
      <c r="W38" s="14">
        <f>IF($AE38="","",IFERROR(INDEX(Players!$P$2:$P$301,$AE38),""))</f>
        <v/>
      </c>
      <c r="X38" s="14">
        <f>IF($AE38="","",IFERROR(INDEX(Players!$Q$2:$Q$301,$AE38),""))</f>
        <v/>
      </c>
      <c r="Y38" s="14">
        <f>IF($AE38="","",IFERROR(INDEX(Players!$R$2:$R$301,$AE38),""))</f>
        <v/>
      </c>
      <c r="AA38" s="9" t="inlineStr">
        <is>
          <t>R7</t>
        </is>
      </c>
      <c r="AB38" s="21">
        <f>IF(INDEX(Draft!$C$5:$C$196,73)="","",INDEX(Draft!$C$5:$C$196,73))</f>
        <v/>
      </c>
      <c r="AE38">
        <f>IFERROR(MATCH(LARGE(Players!$V$2:$V$301,34),Players!$V$2:$V$301,0),"")</f>
        <v/>
      </c>
    </row>
    <row r="39">
      <c r="A39" s="9" t="inlineStr">
        <is>
          <t>3.11</t>
        </is>
      </c>
      <c r="B39" s="18" t="inlineStr">
        <is>
          <t>Team 11</t>
        </is>
      </c>
      <c r="C39" s="19" t="n"/>
      <c r="E39" s="9" t="n">
        <v>35</v>
      </c>
      <c r="F39">
        <f>IF($AE39="","",IFERROR(INDEX(Players!$B$2:$B$301,$AE39),""))</f>
        <v/>
      </c>
      <c r="G39">
        <f>IF($AE39="","",IFERROR(INDEX(Players!$D$2:$D$301,$AE39),""))</f>
        <v/>
      </c>
      <c r="H39">
        <f>IF($AE39="","",IFERROR(INDEX(Players!$C$2:$C$301,$AE39),""))</f>
        <v/>
      </c>
      <c r="I39" s="12">
        <f>IF($AE39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-35+0.5)/3.5))))</f>
        <v/>
      </c>
      <c r="J39" s="12">
        <f>IF($AE39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-35+0.5)/3.5))))</f>
        <v/>
      </c>
      <c r="K39" s="13">
        <f>IF($AE39="","",IFERROR(INDEX(Players!$U$2:$U$301,$AE39),""))</f>
        <v/>
      </c>
      <c r="L39" s="13">
        <f>IF($AE39="","",IFERROR(INDEX(Players!$X$2:$X$301,$AE39),""))</f>
        <v/>
      </c>
      <c r="M39" s="14">
        <f>IF($AE39="","",IFERROR(INDEX(Players!$K$2:$K$301,$AE39),""))</f>
        <v/>
      </c>
      <c r="N39" s="14">
        <f>IF($AE39="","",IFERROR(INDEX(Players!$H$2:$H$301,$AE39),""))</f>
        <v/>
      </c>
      <c r="O39" s="15">
        <f>IF($AE39="","",IFERROR(INDEX(Players!$G$2:$G$301,$AE39),""))</f>
        <v/>
      </c>
      <c r="P39" s="14">
        <f>IF($AE39="","",IFERROR(INDEX(Players!$I$2:$I$301,$AE39),""))</f>
        <v/>
      </c>
      <c r="Q39" s="14">
        <f>IF($AE39="","",IFERROR(INDEX(Players!$F$2:$F$301,$AE39),""))</f>
        <v/>
      </c>
      <c r="R39" s="14">
        <f>IF($AE39="","",IFERROR(INDEX(Players!$J$2:$J$301,$AE39),""))</f>
        <v/>
      </c>
      <c r="S39" s="15">
        <f>IF($AE39="","",IFERROR(INDEX(Players!$L$2:$L$301,$AE39),""))</f>
        <v/>
      </c>
      <c r="T39" s="14">
        <f>IF($AE39="","",IFERROR(INDEX(Players!$M$2:$M$301,$AE39),""))</f>
        <v/>
      </c>
      <c r="U39" s="14">
        <f>IF($AE39="","",IFERROR(INDEX(Players!$N$2:$N$301,$AE39),""))</f>
        <v/>
      </c>
      <c r="V39" s="14">
        <f>IF($AE39="","",IFERROR(INDEX(Players!$O$2:$O$301,$AE39),""))</f>
        <v/>
      </c>
      <c r="W39" s="14">
        <f>IF($AE39="","",IFERROR(INDEX(Players!$P$2:$P$301,$AE39),""))</f>
        <v/>
      </c>
      <c r="X39" s="14">
        <f>IF($AE39="","",IFERROR(INDEX(Players!$Q$2:$Q$301,$AE39),""))</f>
        <v/>
      </c>
      <c r="Y39" s="14">
        <f>IF($AE39="","",IFERROR(INDEX(Players!$R$2:$R$301,$AE39),""))</f>
        <v/>
      </c>
      <c r="AA39" s="9" t="inlineStr">
        <is>
          <t>R8</t>
        </is>
      </c>
      <c r="AB39" s="21">
        <f>IF(INDEX(Draft!$C$5:$C$196,96)="","",INDEX(Draft!$C$5:$C$196,96))</f>
        <v/>
      </c>
      <c r="AE39">
        <f>IFERROR(MATCH(LARGE(Players!$V$2:$V$301,35),Players!$V$2:$V$301,0),"")</f>
        <v/>
      </c>
    </row>
    <row r="40">
      <c r="A40" s="9" t="inlineStr">
        <is>
          <t>3.12</t>
        </is>
      </c>
      <c r="B40" s="18" t="inlineStr">
        <is>
          <t>Team 12</t>
        </is>
      </c>
      <c r="C40" s="19" t="n"/>
      <c r="E40" s="9" t="n">
        <v>36</v>
      </c>
      <c r="F40">
        <f>IF($AE40="","",IFERROR(INDEX(Players!$B$2:$B$301,$AE40),""))</f>
        <v/>
      </c>
      <c r="G40">
        <f>IF($AE40="","",IFERROR(INDEX(Players!$D$2:$D$301,$AE40),""))</f>
        <v/>
      </c>
      <c r="H40">
        <f>IF($AE40="","",IFERROR(INDEX(Players!$C$2:$C$301,$AE40),""))</f>
        <v/>
      </c>
      <c r="I40" s="12">
        <f>IF($AE40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-36+0.5)/3.5))))</f>
        <v/>
      </c>
      <c r="J40" s="12">
        <f>IF($AE40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-36+0.5)/3.5))))</f>
        <v/>
      </c>
      <c r="K40" s="13">
        <f>IF($AE40="","",IFERROR(INDEX(Players!$U$2:$U$301,$AE40),""))</f>
        <v/>
      </c>
      <c r="L40" s="13">
        <f>IF($AE40="","",IFERROR(INDEX(Players!$X$2:$X$301,$AE40),""))</f>
        <v/>
      </c>
      <c r="M40" s="14">
        <f>IF($AE40="","",IFERROR(INDEX(Players!$K$2:$K$301,$AE40),""))</f>
        <v/>
      </c>
      <c r="N40" s="14">
        <f>IF($AE40="","",IFERROR(INDEX(Players!$H$2:$H$301,$AE40),""))</f>
        <v/>
      </c>
      <c r="O40" s="15">
        <f>IF($AE40="","",IFERROR(INDEX(Players!$G$2:$G$301,$AE40),""))</f>
        <v/>
      </c>
      <c r="P40" s="14">
        <f>IF($AE40="","",IFERROR(INDEX(Players!$I$2:$I$301,$AE40),""))</f>
        <v/>
      </c>
      <c r="Q40" s="14">
        <f>IF($AE40="","",IFERROR(INDEX(Players!$F$2:$F$301,$AE40),""))</f>
        <v/>
      </c>
      <c r="R40" s="14">
        <f>IF($AE40="","",IFERROR(INDEX(Players!$J$2:$J$301,$AE40),""))</f>
        <v/>
      </c>
      <c r="S40" s="15">
        <f>IF($AE40="","",IFERROR(INDEX(Players!$L$2:$L$301,$AE40),""))</f>
        <v/>
      </c>
      <c r="T40" s="14">
        <f>IF($AE40="","",IFERROR(INDEX(Players!$M$2:$M$301,$AE40),""))</f>
        <v/>
      </c>
      <c r="U40" s="14">
        <f>IF($AE40="","",IFERROR(INDEX(Players!$N$2:$N$301,$AE40),""))</f>
        <v/>
      </c>
      <c r="V40" s="14">
        <f>IF($AE40="","",IFERROR(INDEX(Players!$O$2:$O$301,$AE40),""))</f>
        <v/>
      </c>
      <c r="W40" s="14">
        <f>IF($AE40="","",IFERROR(INDEX(Players!$P$2:$P$301,$AE40),""))</f>
        <v/>
      </c>
      <c r="X40" s="14">
        <f>IF($AE40="","",IFERROR(INDEX(Players!$Q$2:$Q$301,$AE40),""))</f>
        <v/>
      </c>
      <c r="Y40" s="14">
        <f>IF($AE40="","",IFERROR(INDEX(Players!$R$2:$R$301,$AE40),""))</f>
        <v/>
      </c>
      <c r="AA40" s="9" t="inlineStr">
        <is>
          <t>R9</t>
        </is>
      </c>
      <c r="AB40" s="21">
        <f>IF(INDEX(Draft!$C$5:$C$196,97)="","",INDEX(Draft!$C$5:$C$196,97))</f>
        <v/>
      </c>
      <c r="AE40">
        <f>IFERROR(MATCH(LARGE(Players!$V$2:$V$301,36),Players!$V$2:$V$301,0),"")</f>
        <v/>
      </c>
    </row>
    <row r="41">
      <c r="A41" s="9" t="inlineStr">
        <is>
          <t>4.01</t>
        </is>
      </c>
      <c r="B41" s="18" t="inlineStr">
        <is>
          <t>Team 12</t>
        </is>
      </c>
      <c r="C41" s="19" t="n"/>
      <c r="E41" s="9" t="n">
        <v>37</v>
      </c>
      <c r="F41">
        <f>IF($AE41="","",IFERROR(INDEX(Players!$B$2:$B$301,$AE41),""))</f>
        <v/>
      </c>
      <c r="G41">
        <f>IF($AE41="","",IFERROR(INDEX(Players!$D$2:$D$301,$AE41),""))</f>
        <v/>
      </c>
      <c r="H41">
        <f>IF($AE41="","",IFERROR(INDEX(Players!$C$2:$C$301,$AE41),""))</f>
        <v/>
      </c>
      <c r="I41" s="12">
        <f>IF($AE41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-37+0.5)/3.5))))</f>
        <v/>
      </c>
      <c r="J41" s="12">
        <f>IF($AE41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-37+0.5)/3.5))))</f>
        <v/>
      </c>
      <c r="K41" s="13">
        <f>IF($AE41="","",IFERROR(INDEX(Players!$U$2:$U$301,$AE41),""))</f>
        <v/>
      </c>
      <c r="L41" s="13">
        <f>IF($AE41="","",IFERROR(INDEX(Players!$X$2:$X$301,$AE41),""))</f>
        <v/>
      </c>
      <c r="M41" s="14">
        <f>IF($AE41="","",IFERROR(INDEX(Players!$K$2:$K$301,$AE41),""))</f>
        <v/>
      </c>
      <c r="N41" s="14">
        <f>IF($AE41="","",IFERROR(INDEX(Players!$H$2:$H$301,$AE41),""))</f>
        <v/>
      </c>
      <c r="O41" s="15">
        <f>IF($AE41="","",IFERROR(INDEX(Players!$G$2:$G$301,$AE41),""))</f>
        <v/>
      </c>
      <c r="P41" s="14">
        <f>IF($AE41="","",IFERROR(INDEX(Players!$I$2:$I$301,$AE41),""))</f>
        <v/>
      </c>
      <c r="Q41" s="14">
        <f>IF($AE41="","",IFERROR(INDEX(Players!$F$2:$F$301,$AE41),""))</f>
        <v/>
      </c>
      <c r="R41" s="14">
        <f>IF($AE41="","",IFERROR(INDEX(Players!$J$2:$J$301,$AE41),""))</f>
        <v/>
      </c>
      <c r="S41" s="15">
        <f>IF($AE41="","",IFERROR(INDEX(Players!$L$2:$L$301,$AE41),""))</f>
        <v/>
      </c>
      <c r="T41" s="14">
        <f>IF($AE41="","",IFERROR(INDEX(Players!$M$2:$M$301,$AE41),""))</f>
        <v/>
      </c>
      <c r="U41" s="14">
        <f>IF($AE41="","",IFERROR(INDEX(Players!$N$2:$N$301,$AE41),""))</f>
        <v/>
      </c>
      <c r="V41" s="14">
        <f>IF($AE41="","",IFERROR(INDEX(Players!$O$2:$O$301,$AE41),""))</f>
        <v/>
      </c>
      <c r="W41" s="14">
        <f>IF($AE41="","",IFERROR(INDEX(Players!$P$2:$P$301,$AE41),""))</f>
        <v/>
      </c>
      <c r="X41" s="14">
        <f>IF($AE41="","",IFERROR(INDEX(Players!$Q$2:$Q$301,$AE41),""))</f>
        <v/>
      </c>
      <c r="Y41" s="14">
        <f>IF($AE41="","",IFERROR(INDEX(Players!$R$2:$R$301,$AE41),""))</f>
        <v/>
      </c>
      <c r="AA41" s="9" t="inlineStr">
        <is>
          <t>R10</t>
        </is>
      </c>
      <c r="AB41" s="21">
        <f>IF(INDEX(Draft!$C$5:$C$196,120)="","",INDEX(Draft!$C$5:$C$196,120))</f>
        <v/>
      </c>
      <c r="AE41">
        <f>IFERROR(MATCH(LARGE(Players!$V$2:$V$301,37),Players!$V$2:$V$301,0),"")</f>
        <v/>
      </c>
    </row>
    <row r="42">
      <c r="A42" s="9" t="inlineStr">
        <is>
          <t>4.02</t>
        </is>
      </c>
      <c r="B42" s="18" t="inlineStr">
        <is>
          <t>Team 11</t>
        </is>
      </c>
      <c r="C42" s="19" t="n"/>
      <c r="E42" s="9" t="n">
        <v>38</v>
      </c>
      <c r="F42">
        <f>IF($AE42="","",IFERROR(INDEX(Players!$B$2:$B$301,$AE42),""))</f>
        <v/>
      </c>
      <c r="G42">
        <f>IF($AE42="","",IFERROR(INDEX(Players!$D$2:$D$301,$AE42),""))</f>
        <v/>
      </c>
      <c r="H42">
        <f>IF($AE42="","",IFERROR(INDEX(Players!$C$2:$C$301,$AE42),""))</f>
        <v/>
      </c>
      <c r="I42" s="12">
        <f>IF($AE42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-38+0.5)/3.5))))</f>
        <v/>
      </c>
      <c r="J42" s="12">
        <f>IF($AE42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-38+0.5)/3.5))))</f>
        <v/>
      </c>
      <c r="K42" s="13">
        <f>IF($AE42="","",IFERROR(INDEX(Players!$U$2:$U$301,$AE42),""))</f>
        <v/>
      </c>
      <c r="L42" s="13">
        <f>IF($AE42="","",IFERROR(INDEX(Players!$X$2:$X$301,$AE42),""))</f>
        <v/>
      </c>
      <c r="M42" s="14">
        <f>IF($AE42="","",IFERROR(INDEX(Players!$K$2:$K$301,$AE42),""))</f>
        <v/>
      </c>
      <c r="N42" s="14">
        <f>IF($AE42="","",IFERROR(INDEX(Players!$H$2:$H$301,$AE42),""))</f>
        <v/>
      </c>
      <c r="O42" s="15">
        <f>IF($AE42="","",IFERROR(INDEX(Players!$G$2:$G$301,$AE42),""))</f>
        <v/>
      </c>
      <c r="P42" s="14">
        <f>IF($AE42="","",IFERROR(INDEX(Players!$I$2:$I$301,$AE42),""))</f>
        <v/>
      </c>
      <c r="Q42" s="14">
        <f>IF($AE42="","",IFERROR(INDEX(Players!$F$2:$F$301,$AE42),""))</f>
        <v/>
      </c>
      <c r="R42" s="14">
        <f>IF($AE42="","",IFERROR(INDEX(Players!$J$2:$J$301,$AE42),""))</f>
        <v/>
      </c>
      <c r="S42" s="15">
        <f>IF($AE42="","",IFERROR(INDEX(Players!$L$2:$L$301,$AE42),""))</f>
        <v/>
      </c>
      <c r="T42" s="14">
        <f>IF($AE42="","",IFERROR(INDEX(Players!$M$2:$M$301,$AE42),""))</f>
        <v/>
      </c>
      <c r="U42" s="14">
        <f>IF($AE42="","",IFERROR(INDEX(Players!$N$2:$N$301,$AE42),""))</f>
        <v/>
      </c>
      <c r="V42" s="14">
        <f>IF($AE42="","",IFERROR(INDEX(Players!$O$2:$O$301,$AE42),""))</f>
        <v/>
      </c>
      <c r="W42" s="14">
        <f>IF($AE42="","",IFERROR(INDEX(Players!$P$2:$P$301,$AE42),""))</f>
        <v/>
      </c>
      <c r="X42" s="14">
        <f>IF($AE42="","",IFERROR(INDEX(Players!$Q$2:$Q$301,$AE42),""))</f>
        <v/>
      </c>
      <c r="Y42" s="14">
        <f>IF($AE42="","",IFERROR(INDEX(Players!$R$2:$R$301,$AE42),""))</f>
        <v/>
      </c>
      <c r="AA42" s="9" t="inlineStr">
        <is>
          <t>R11</t>
        </is>
      </c>
      <c r="AB42" s="21">
        <f>IF(INDEX(Draft!$C$5:$C$196,121)="","",INDEX(Draft!$C$5:$C$196,121))</f>
        <v/>
      </c>
      <c r="AE42">
        <f>IFERROR(MATCH(LARGE(Players!$V$2:$V$301,38),Players!$V$2:$V$301,0),"")</f>
        <v/>
      </c>
    </row>
    <row r="43">
      <c r="A43" s="9" t="inlineStr">
        <is>
          <t>4.03</t>
        </is>
      </c>
      <c r="B43" s="18" t="inlineStr">
        <is>
          <t>Team 10</t>
        </is>
      </c>
      <c r="C43" s="19" t="n"/>
      <c r="E43" s="9" t="n">
        <v>39</v>
      </c>
      <c r="F43">
        <f>IF($AE43="","",IFERROR(INDEX(Players!$B$2:$B$301,$AE43),""))</f>
        <v/>
      </c>
      <c r="G43">
        <f>IF($AE43="","",IFERROR(INDEX(Players!$D$2:$D$301,$AE43),""))</f>
        <v/>
      </c>
      <c r="H43">
        <f>IF($AE43="","",IFERROR(INDEX(Players!$C$2:$C$301,$AE43),""))</f>
        <v/>
      </c>
      <c r="I43" s="12">
        <f>IF($AE43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-39+0.5)/3.5))))</f>
        <v/>
      </c>
      <c r="J43" s="12">
        <f>IF($AE43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-39+0.5)/3.5))))</f>
        <v/>
      </c>
      <c r="K43" s="13">
        <f>IF($AE43="","",IFERROR(INDEX(Players!$U$2:$U$301,$AE43),""))</f>
        <v/>
      </c>
      <c r="L43" s="13">
        <f>IF($AE43="","",IFERROR(INDEX(Players!$X$2:$X$301,$AE43),""))</f>
        <v/>
      </c>
      <c r="M43" s="14">
        <f>IF($AE43="","",IFERROR(INDEX(Players!$K$2:$K$301,$AE43),""))</f>
        <v/>
      </c>
      <c r="N43" s="14">
        <f>IF($AE43="","",IFERROR(INDEX(Players!$H$2:$H$301,$AE43),""))</f>
        <v/>
      </c>
      <c r="O43" s="15">
        <f>IF($AE43="","",IFERROR(INDEX(Players!$G$2:$G$301,$AE43),""))</f>
        <v/>
      </c>
      <c r="P43" s="14">
        <f>IF($AE43="","",IFERROR(INDEX(Players!$I$2:$I$301,$AE43),""))</f>
        <v/>
      </c>
      <c r="Q43" s="14">
        <f>IF($AE43="","",IFERROR(INDEX(Players!$F$2:$F$301,$AE43),""))</f>
        <v/>
      </c>
      <c r="R43" s="14">
        <f>IF($AE43="","",IFERROR(INDEX(Players!$J$2:$J$301,$AE43),""))</f>
        <v/>
      </c>
      <c r="S43" s="15">
        <f>IF($AE43="","",IFERROR(INDEX(Players!$L$2:$L$301,$AE43),""))</f>
        <v/>
      </c>
      <c r="T43" s="14">
        <f>IF($AE43="","",IFERROR(INDEX(Players!$M$2:$M$301,$AE43),""))</f>
        <v/>
      </c>
      <c r="U43" s="14">
        <f>IF($AE43="","",IFERROR(INDEX(Players!$N$2:$N$301,$AE43),""))</f>
        <v/>
      </c>
      <c r="V43" s="14">
        <f>IF($AE43="","",IFERROR(INDEX(Players!$O$2:$O$301,$AE43),""))</f>
        <v/>
      </c>
      <c r="W43" s="14">
        <f>IF($AE43="","",IFERROR(INDEX(Players!$P$2:$P$301,$AE43),""))</f>
        <v/>
      </c>
      <c r="X43" s="14">
        <f>IF($AE43="","",IFERROR(INDEX(Players!$Q$2:$Q$301,$AE43),""))</f>
        <v/>
      </c>
      <c r="Y43" s="14">
        <f>IF($AE43="","",IFERROR(INDEX(Players!$R$2:$R$301,$AE43),""))</f>
        <v/>
      </c>
      <c r="AA43" s="9" t="inlineStr">
        <is>
          <t>R12</t>
        </is>
      </c>
      <c r="AB43" s="21">
        <f>IF(INDEX(Draft!$C$5:$C$196,144)="","",INDEX(Draft!$C$5:$C$196,144))</f>
        <v/>
      </c>
      <c r="AE43">
        <f>IFERROR(MATCH(LARGE(Players!$V$2:$V$301,39),Players!$V$2:$V$301,0),"")</f>
        <v/>
      </c>
    </row>
    <row r="44">
      <c r="A44" s="9" t="inlineStr">
        <is>
          <t>4.04</t>
        </is>
      </c>
      <c r="B44" s="18" t="inlineStr">
        <is>
          <t>Team 9</t>
        </is>
      </c>
      <c r="C44" s="19" t="n"/>
      <c r="E44" s="9" t="n">
        <v>40</v>
      </c>
      <c r="F44">
        <f>IF($AE44="","",IFERROR(INDEX(Players!$B$2:$B$301,$AE44),""))</f>
        <v/>
      </c>
      <c r="G44">
        <f>IF($AE44="","",IFERROR(INDEX(Players!$D$2:$D$301,$AE44),""))</f>
        <v/>
      </c>
      <c r="H44">
        <f>IF($AE44="","",IFERROR(INDEX(Players!$C$2:$C$301,$AE44),""))</f>
        <v/>
      </c>
      <c r="I44" s="12">
        <f>IF($AE44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-40+0.5)/3.5))))</f>
        <v/>
      </c>
      <c r="J44" s="12">
        <f>IF($AE44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-40+0.5)/3.5))))</f>
        <v/>
      </c>
      <c r="K44" s="13">
        <f>IF($AE44="","",IFERROR(INDEX(Players!$U$2:$U$301,$AE44),""))</f>
        <v/>
      </c>
      <c r="L44" s="13">
        <f>IF($AE44="","",IFERROR(INDEX(Players!$X$2:$X$301,$AE44),""))</f>
        <v/>
      </c>
      <c r="M44" s="14">
        <f>IF($AE44="","",IFERROR(INDEX(Players!$K$2:$K$301,$AE44),""))</f>
        <v/>
      </c>
      <c r="N44" s="14">
        <f>IF($AE44="","",IFERROR(INDEX(Players!$H$2:$H$301,$AE44),""))</f>
        <v/>
      </c>
      <c r="O44" s="15">
        <f>IF($AE44="","",IFERROR(INDEX(Players!$G$2:$G$301,$AE44),""))</f>
        <v/>
      </c>
      <c r="P44" s="14">
        <f>IF($AE44="","",IFERROR(INDEX(Players!$I$2:$I$301,$AE44),""))</f>
        <v/>
      </c>
      <c r="Q44" s="14">
        <f>IF($AE44="","",IFERROR(INDEX(Players!$F$2:$F$301,$AE44),""))</f>
        <v/>
      </c>
      <c r="R44" s="14">
        <f>IF($AE44="","",IFERROR(INDEX(Players!$J$2:$J$301,$AE44),""))</f>
        <v/>
      </c>
      <c r="S44" s="15">
        <f>IF($AE44="","",IFERROR(INDEX(Players!$L$2:$L$301,$AE44),""))</f>
        <v/>
      </c>
      <c r="T44" s="14">
        <f>IF($AE44="","",IFERROR(INDEX(Players!$M$2:$M$301,$AE44),""))</f>
        <v/>
      </c>
      <c r="U44" s="14">
        <f>IF($AE44="","",IFERROR(INDEX(Players!$N$2:$N$301,$AE44),""))</f>
        <v/>
      </c>
      <c r="V44" s="14">
        <f>IF($AE44="","",IFERROR(INDEX(Players!$O$2:$O$301,$AE44),""))</f>
        <v/>
      </c>
      <c r="W44" s="14">
        <f>IF($AE44="","",IFERROR(INDEX(Players!$P$2:$P$301,$AE44),""))</f>
        <v/>
      </c>
      <c r="X44" s="14">
        <f>IF($AE44="","",IFERROR(INDEX(Players!$Q$2:$Q$301,$AE44),""))</f>
        <v/>
      </c>
      <c r="Y44" s="14">
        <f>IF($AE44="","",IFERROR(INDEX(Players!$R$2:$R$301,$AE44),""))</f>
        <v/>
      </c>
      <c r="AA44" s="9" t="inlineStr">
        <is>
          <t>R13</t>
        </is>
      </c>
      <c r="AB44" s="21">
        <f>IF(INDEX(Draft!$C$5:$C$196,145)="","",INDEX(Draft!$C$5:$C$196,145))</f>
        <v/>
      </c>
      <c r="AE44">
        <f>IFERROR(MATCH(LARGE(Players!$V$2:$V$301,40),Players!$V$2:$V$301,0),"")</f>
        <v/>
      </c>
    </row>
    <row r="45">
      <c r="A45" s="9" t="inlineStr">
        <is>
          <t>4.05</t>
        </is>
      </c>
      <c r="B45" s="18" t="inlineStr">
        <is>
          <t>Team 8</t>
        </is>
      </c>
      <c r="C45" s="19" t="n"/>
      <c r="E45" s="9" t="n">
        <v>41</v>
      </c>
      <c r="F45">
        <f>IF($AE45="","",IFERROR(INDEX(Players!$B$2:$B$301,$AE45),""))</f>
        <v/>
      </c>
      <c r="G45">
        <f>IF($AE45="","",IFERROR(INDEX(Players!$D$2:$D$301,$AE45),""))</f>
        <v/>
      </c>
      <c r="H45">
        <f>IF($AE45="","",IFERROR(INDEX(Players!$C$2:$C$301,$AE45),""))</f>
        <v/>
      </c>
      <c r="I45" s="12">
        <f>IF($AE45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-41+0.5)/3.5))))</f>
        <v/>
      </c>
      <c r="J45" s="12">
        <f>IF($AE45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-41+0.5)/3.5))))</f>
        <v/>
      </c>
      <c r="K45" s="13">
        <f>IF($AE45="","",IFERROR(INDEX(Players!$U$2:$U$301,$AE45),""))</f>
        <v/>
      </c>
      <c r="L45" s="13">
        <f>IF($AE45="","",IFERROR(INDEX(Players!$X$2:$X$301,$AE45),""))</f>
        <v/>
      </c>
      <c r="M45" s="14">
        <f>IF($AE45="","",IFERROR(INDEX(Players!$K$2:$K$301,$AE45),""))</f>
        <v/>
      </c>
      <c r="N45" s="14">
        <f>IF($AE45="","",IFERROR(INDEX(Players!$H$2:$H$301,$AE45),""))</f>
        <v/>
      </c>
      <c r="O45" s="15">
        <f>IF($AE45="","",IFERROR(INDEX(Players!$G$2:$G$301,$AE45),""))</f>
        <v/>
      </c>
      <c r="P45" s="14">
        <f>IF($AE45="","",IFERROR(INDEX(Players!$I$2:$I$301,$AE45),""))</f>
        <v/>
      </c>
      <c r="Q45" s="14">
        <f>IF($AE45="","",IFERROR(INDEX(Players!$F$2:$F$301,$AE45),""))</f>
        <v/>
      </c>
      <c r="R45" s="14">
        <f>IF($AE45="","",IFERROR(INDEX(Players!$J$2:$J$301,$AE45),""))</f>
        <v/>
      </c>
      <c r="S45" s="15">
        <f>IF($AE45="","",IFERROR(INDEX(Players!$L$2:$L$301,$AE45),""))</f>
        <v/>
      </c>
      <c r="T45" s="14">
        <f>IF($AE45="","",IFERROR(INDEX(Players!$M$2:$M$301,$AE45),""))</f>
        <v/>
      </c>
      <c r="U45" s="14">
        <f>IF($AE45="","",IFERROR(INDEX(Players!$N$2:$N$301,$AE45),""))</f>
        <v/>
      </c>
      <c r="V45" s="14">
        <f>IF($AE45="","",IFERROR(INDEX(Players!$O$2:$O$301,$AE45),""))</f>
        <v/>
      </c>
      <c r="W45" s="14">
        <f>IF($AE45="","",IFERROR(INDEX(Players!$P$2:$P$301,$AE45),""))</f>
        <v/>
      </c>
      <c r="X45" s="14">
        <f>IF($AE45="","",IFERROR(INDEX(Players!$Q$2:$Q$301,$AE45),""))</f>
        <v/>
      </c>
      <c r="Y45" s="14">
        <f>IF($AE45="","",IFERROR(INDEX(Players!$R$2:$R$301,$AE45),""))</f>
        <v/>
      </c>
      <c r="AA45" s="9" t="inlineStr">
        <is>
          <t>R14</t>
        </is>
      </c>
      <c r="AB45" s="21">
        <f>IF(INDEX(Draft!$C$5:$C$196,168)="","",INDEX(Draft!$C$5:$C$196,168))</f>
        <v/>
      </c>
      <c r="AE45">
        <f>IFERROR(MATCH(LARGE(Players!$V$2:$V$301,41),Players!$V$2:$V$301,0),"")</f>
        <v/>
      </c>
    </row>
    <row r="46">
      <c r="A46" s="9" t="inlineStr">
        <is>
          <t>4.06</t>
        </is>
      </c>
      <c r="B46" s="18" t="inlineStr">
        <is>
          <t>Team 7</t>
        </is>
      </c>
      <c r="C46" s="19" t="n"/>
      <c r="E46" s="9" t="n">
        <v>42</v>
      </c>
      <c r="F46">
        <f>IF($AE46="","",IFERROR(INDEX(Players!$B$2:$B$301,$AE46),""))</f>
        <v/>
      </c>
      <c r="G46">
        <f>IF($AE46="","",IFERROR(INDEX(Players!$D$2:$D$301,$AE46),""))</f>
        <v/>
      </c>
      <c r="H46">
        <f>IF($AE46="","",IFERROR(INDEX(Players!$C$2:$C$301,$AE46),""))</f>
        <v/>
      </c>
      <c r="I46" s="12">
        <f>IF($AE46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-42+0.5)/3.5))))</f>
        <v/>
      </c>
      <c r="J46" s="12">
        <f>IF($AE46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-42+0.5)/3.5))))</f>
        <v/>
      </c>
      <c r="K46" s="13">
        <f>IF($AE46="","",IFERROR(INDEX(Players!$U$2:$U$301,$AE46),""))</f>
        <v/>
      </c>
      <c r="L46" s="13">
        <f>IF($AE46="","",IFERROR(INDEX(Players!$X$2:$X$301,$AE46),""))</f>
        <v/>
      </c>
      <c r="M46" s="14">
        <f>IF($AE46="","",IFERROR(INDEX(Players!$K$2:$K$301,$AE46),""))</f>
        <v/>
      </c>
      <c r="N46" s="14">
        <f>IF($AE46="","",IFERROR(INDEX(Players!$H$2:$H$301,$AE46),""))</f>
        <v/>
      </c>
      <c r="O46" s="15">
        <f>IF($AE46="","",IFERROR(INDEX(Players!$G$2:$G$301,$AE46),""))</f>
        <v/>
      </c>
      <c r="P46" s="14">
        <f>IF($AE46="","",IFERROR(INDEX(Players!$I$2:$I$301,$AE46),""))</f>
        <v/>
      </c>
      <c r="Q46" s="14">
        <f>IF($AE46="","",IFERROR(INDEX(Players!$F$2:$F$301,$AE46),""))</f>
        <v/>
      </c>
      <c r="R46" s="14">
        <f>IF($AE46="","",IFERROR(INDEX(Players!$J$2:$J$301,$AE46),""))</f>
        <v/>
      </c>
      <c r="S46" s="15">
        <f>IF($AE46="","",IFERROR(INDEX(Players!$L$2:$L$301,$AE46),""))</f>
        <v/>
      </c>
      <c r="T46" s="14">
        <f>IF($AE46="","",IFERROR(INDEX(Players!$M$2:$M$301,$AE46),""))</f>
        <v/>
      </c>
      <c r="U46" s="14">
        <f>IF($AE46="","",IFERROR(INDEX(Players!$N$2:$N$301,$AE46),""))</f>
        <v/>
      </c>
      <c r="V46" s="14">
        <f>IF($AE46="","",IFERROR(INDEX(Players!$O$2:$O$301,$AE46),""))</f>
        <v/>
      </c>
      <c r="W46" s="14">
        <f>IF($AE46="","",IFERROR(INDEX(Players!$P$2:$P$301,$AE46),""))</f>
        <v/>
      </c>
      <c r="X46" s="14">
        <f>IF($AE46="","",IFERROR(INDEX(Players!$Q$2:$Q$301,$AE46),""))</f>
        <v/>
      </c>
      <c r="Y46" s="14">
        <f>IF($AE46="","",IFERROR(INDEX(Players!$R$2:$R$301,$AE46),""))</f>
        <v/>
      </c>
      <c r="AA46" s="9" t="inlineStr">
        <is>
          <t>R15</t>
        </is>
      </c>
      <c r="AB46" s="21">
        <f>IF(INDEX(Draft!$C$5:$C$196,169)="","",INDEX(Draft!$C$5:$C$196,169))</f>
        <v/>
      </c>
      <c r="AE46">
        <f>IFERROR(MATCH(LARGE(Players!$V$2:$V$301,42),Players!$V$2:$V$301,0),"")</f>
        <v/>
      </c>
    </row>
    <row r="47">
      <c r="A47" s="9" t="inlineStr">
        <is>
          <t>4.07</t>
        </is>
      </c>
      <c r="B47" s="18" t="inlineStr">
        <is>
          <t>Team 6</t>
        </is>
      </c>
      <c r="C47" s="19" t="n"/>
      <c r="E47" s="9" t="n">
        <v>43</v>
      </c>
      <c r="F47">
        <f>IF($AE47="","",IFERROR(INDEX(Players!$B$2:$B$301,$AE47),""))</f>
        <v/>
      </c>
      <c r="G47">
        <f>IF($AE47="","",IFERROR(INDEX(Players!$D$2:$D$301,$AE47),""))</f>
        <v/>
      </c>
      <c r="H47">
        <f>IF($AE47="","",IFERROR(INDEX(Players!$C$2:$C$301,$AE47),""))</f>
        <v/>
      </c>
      <c r="I47" s="12">
        <f>IF($AE47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-43+0.5)/3.5))))</f>
        <v/>
      </c>
      <c r="J47" s="12">
        <f>IF($AE47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-43+0.5)/3.5))))</f>
        <v/>
      </c>
      <c r="K47" s="13">
        <f>IF($AE47="","",IFERROR(INDEX(Players!$U$2:$U$301,$AE47),""))</f>
        <v/>
      </c>
      <c r="L47" s="13">
        <f>IF($AE47="","",IFERROR(INDEX(Players!$X$2:$X$301,$AE47),""))</f>
        <v/>
      </c>
      <c r="M47" s="14">
        <f>IF($AE47="","",IFERROR(INDEX(Players!$K$2:$K$301,$AE47),""))</f>
        <v/>
      </c>
      <c r="N47" s="14">
        <f>IF($AE47="","",IFERROR(INDEX(Players!$H$2:$H$301,$AE47),""))</f>
        <v/>
      </c>
      <c r="O47" s="15">
        <f>IF($AE47="","",IFERROR(INDEX(Players!$G$2:$G$301,$AE47),""))</f>
        <v/>
      </c>
      <c r="P47" s="14">
        <f>IF($AE47="","",IFERROR(INDEX(Players!$I$2:$I$301,$AE47),""))</f>
        <v/>
      </c>
      <c r="Q47" s="14">
        <f>IF($AE47="","",IFERROR(INDEX(Players!$F$2:$F$301,$AE47),""))</f>
        <v/>
      </c>
      <c r="R47" s="14">
        <f>IF($AE47="","",IFERROR(INDEX(Players!$J$2:$J$301,$AE47),""))</f>
        <v/>
      </c>
      <c r="S47" s="15">
        <f>IF($AE47="","",IFERROR(INDEX(Players!$L$2:$L$301,$AE47),""))</f>
        <v/>
      </c>
      <c r="T47" s="14">
        <f>IF($AE47="","",IFERROR(INDEX(Players!$M$2:$M$301,$AE47),""))</f>
        <v/>
      </c>
      <c r="U47" s="14">
        <f>IF($AE47="","",IFERROR(INDEX(Players!$N$2:$N$301,$AE47),""))</f>
        <v/>
      </c>
      <c r="V47" s="14">
        <f>IF($AE47="","",IFERROR(INDEX(Players!$O$2:$O$301,$AE47),""))</f>
        <v/>
      </c>
      <c r="W47" s="14">
        <f>IF($AE47="","",IFERROR(INDEX(Players!$P$2:$P$301,$AE47),""))</f>
        <v/>
      </c>
      <c r="X47" s="14">
        <f>IF($AE47="","",IFERROR(INDEX(Players!$Q$2:$Q$301,$AE47),""))</f>
        <v/>
      </c>
      <c r="Y47" s="14">
        <f>IF($AE47="","",IFERROR(INDEX(Players!$R$2:$R$301,$AE47),""))</f>
        <v/>
      </c>
      <c r="AA47" s="9" t="inlineStr">
        <is>
          <t>R16</t>
        </is>
      </c>
      <c r="AB47" s="21">
        <f>IF(INDEX(Draft!$C$5:$C$196,192)="","",INDEX(Draft!$C$5:$C$196,192))</f>
        <v/>
      </c>
      <c r="AE47">
        <f>IFERROR(MATCH(LARGE(Players!$V$2:$V$301,43),Players!$V$2:$V$301,0),"")</f>
        <v/>
      </c>
    </row>
    <row r="48">
      <c r="A48" s="9" t="inlineStr">
        <is>
          <t>4.08</t>
        </is>
      </c>
      <c r="B48" s="18" t="inlineStr">
        <is>
          <t>Team 5</t>
        </is>
      </c>
      <c r="C48" s="19" t="n"/>
      <c r="E48" s="9" t="n">
        <v>44</v>
      </c>
      <c r="F48">
        <f>IF($AE48="","",IFERROR(INDEX(Players!$B$2:$B$301,$AE48),""))</f>
        <v/>
      </c>
      <c r="G48">
        <f>IF($AE48="","",IFERROR(INDEX(Players!$D$2:$D$301,$AE48),""))</f>
        <v/>
      </c>
      <c r="H48">
        <f>IF($AE48="","",IFERROR(INDEX(Players!$C$2:$C$301,$AE48),""))</f>
        <v/>
      </c>
      <c r="I48" s="12">
        <f>IF($AE48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-44+0.5)/3.5))))</f>
        <v/>
      </c>
      <c r="J48" s="12">
        <f>IF($AE48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-44+0.5)/3.5))))</f>
        <v/>
      </c>
      <c r="K48" s="13">
        <f>IF($AE48="","",IFERROR(INDEX(Players!$U$2:$U$301,$AE48),""))</f>
        <v/>
      </c>
      <c r="L48" s="13">
        <f>IF($AE48="","",IFERROR(INDEX(Players!$X$2:$X$301,$AE48),""))</f>
        <v/>
      </c>
      <c r="M48" s="14">
        <f>IF($AE48="","",IFERROR(INDEX(Players!$K$2:$K$301,$AE48),""))</f>
        <v/>
      </c>
      <c r="N48" s="14">
        <f>IF($AE48="","",IFERROR(INDEX(Players!$H$2:$H$301,$AE48),""))</f>
        <v/>
      </c>
      <c r="O48" s="15">
        <f>IF($AE48="","",IFERROR(INDEX(Players!$G$2:$G$301,$AE48),""))</f>
        <v/>
      </c>
      <c r="P48" s="14">
        <f>IF($AE48="","",IFERROR(INDEX(Players!$I$2:$I$301,$AE48),""))</f>
        <v/>
      </c>
      <c r="Q48" s="14">
        <f>IF($AE48="","",IFERROR(INDEX(Players!$F$2:$F$301,$AE48),""))</f>
        <v/>
      </c>
      <c r="R48" s="14">
        <f>IF($AE48="","",IFERROR(INDEX(Players!$J$2:$J$301,$AE48),""))</f>
        <v/>
      </c>
      <c r="S48" s="15">
        <f>IF($AE48="","",IFERROR(INDEX(Players!$L$2:$L$301,$AE48),""))</f>
        <v/>
      </c>
      <c r="T48" s="14">
        <f>IF($AE48="","",IFERROR(INDEX(Players!$M$2:$M$301,$AE48),""))</f>
        <v/>
      </c>
      <c r="U48" s="14">
        <f>IF($AE48="","",IFERROR(INDEX(Players!$N$2:$N$301,$AE48),""))</f>
        <v/>
      </c>
      <c r="V48" s="14">
        <f>IF($AE48="","",IFERROR(INDEX(Players!$O$2:$O$301,$AE48),""))</f>
        <v/>
      </c>
      <c r="W48" s="14">
        <f>IF($AE48="","",IFERROR(INDEX(Players!$P$2:$P$301,$AE48),""))</f>
        <v/>
      </c>
      <c r="X48" s="14">
        <f>IF($AE48="","",IFERROR(INDEX(Players!$Q$2:$Q$301,$AE48),""))</f>
        <v/>
      </c>
      <c r="Y48" s="14">
        <f>IF($AE48="","",IFERROR(INDEX(Players!$R$2:$R$301,$AE48),""))</f>
        <v/>
      </c>
      <c r="AE48">
        <f>IFERROR(MATCH(LARGE(Players!$V$2:$V$301,44),Players!$V$2:$V$301,0),"")</f>
        <v/>
      </c>
    </row>
    <row r="49">
      <c r="A49" s="9" t="inlineStr">
        <is>
          <t>4.09</t>
        </is>
      </c>
      <c r="B49" s="18" t="inlineStr">
        <is>
          <t>Team 4</t>
        </is>
      </c>
      <c r="C49" s="19" t="n"/>
      <c r="E49" s="9" t="n">
        <v>45</v>
      </c>
      <c r="F49">
        <f>IF($AE49="","",IFERROR(INDEX(Players!$B$2:$B$301,$AE49),""))</f>
        <v/>
      </c>
      <c r="G49">
        <f>IF($AE49="","",IFERROR(INDEX(Players!$D$2:$D$301,$AE49),""))</f>
        <v/>
      </c>
      <c r="H49">
        <f>IF($AE49="","",IFERROR(INDEX(Players!$C$2:$C$301,$AE49),""))</f>
        <v/>
      </c>
      <c r="I49" s="12">
        <f>IF($AE49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-45+0.5)/3.5))))</f>
        <v/>
      </c>
      <c r="J49" s="12">
        <f>IF($AE49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-45+0.5)/3.5))))</f>
        <v/>
      </c>
      <c r="K49" s="13">
        <f>IF($AE49="","",IFERROR(INDEX(Players!$U$2:$U$301,$AE49),""))</f>
        <v/>
      </c>
      <c r="L49" s="13">
        <f>IF($AE49="","",IFERROR(INDEX(Players!$X$2:$X$301,$AE49),""))</f>
        <v/>
      </c>
      <c r="M49" s="14">
        <f>IF($AE49="","",IFERROR(INDEX(Players!$K$2:$K$301,$AE49),""))</f>
        <v/>
      </c>
      <c r="N49" s="14">
        <f>IF($AE49="","",IFERROR(INDEX(Players!$H$2:$H$301,$AE49),""))</f>
        <v/>
      </c>
      <c r="O49" s="15">
        <f>IF($AE49="","",IFERROR(INDEX(Players!$G$2:$G$301,$AE49),""))</f>
        <v/>
      </c>
      <c r="P49" s="14">
        <f>IF($AE49="","",IFERROR(INDEX(Players!$I$2:$I$301,$AE49),""))</f>
        <v/>
      </c>
      <c r="Q49" s="14">
        <f>IF($AE49="","",IFERROR(INDEX(Players!$F$2:$F$301,$AE49),""))</f>
        <v/>
      </c>
      <c r="R49" s="14">
        <f>IF($AE49="","",IFERROR(INDEX(Players!$J$2:$J$301,$AE49),""))</f>
        <v/>
      </c>
      <c r="S49" s="15">
        <f>IF($AE49="","",IFERROR(INDEX(Players!$L$2:$L$301,$AE49),""))</f>
        <v/>
      </c>
      <c r="T49" s="14">
        <f>IF($AE49="","",IFERROR(INDEX(Players!$M$2:$M$301,$AE49),""))</f>
        <v/>
      </c>
      <c r="U49" s="14">
        <f>IF($AE49="","",IFERROR(INDEX(Players!$N$2:$N$301,$AE49),""))</f>
        <v/>
      </c>
      <c r="V49" s="14">
        <f>IF($AE49="","",IFERROR(INDEX(Players!$O$2:$O$301,$AE49),""))</f>
        <v/>
      </c>
      <c r="W49" s="14">
        <f>IF($AE49="","",IFERROR(INDEX(Players!$P$2:$P$301,$AE49),""))</f>
        <v/>
      </c>
      <c r="X49" s="14">
        <f>IF($AE49="","",IFERROR(INDEX(Players!$Q$2:$Q$301,$AE49),""))</f>
        <v/>
      </c>
      <c r="Y49" s="14">
        <f>IF($AE49="","",IFERROR(INDEX(Players!$R$2:$R$301,$AE49),""))</f>
        <v/>
      </c>
      <c r="AE49">
        <f>IFERROR(MATCH(LARGE(Players!$V$2:$V$301,45),Players!$V$2:$V$301,0),"")</f>
        <v/>
      </c>
    </row>
    <row r="50">
      <c r="A50" s="9" t="inlineStr">
        <is>
          <t>4.10</t>
        </is>
      </c>
      <c r="B50" s="18" t="inlineStr">
        <is>
          <t>Team 3</t>
        </is>
      </c>
      <c r="C50" s="19" t="n"/>
      <c r="E50" s="9" t="n">
        <v>46</v>
      </c>
      <c r="F50">
        <f>IF($AE50="","",IFERROR(INDEX(Players!$B$2:$B$301,$AE50),""))</f>
        <v/>
      </c>
      <c r="G50">
        <f>IF($AE50="","",IFERROR(INDEX(Players!$D$2:$D$301,$AE50),""))</f>
        <v/>
      </c>
      <c r="H50">
        <f>IF($AE50="","",IFERROR(INDEX(Players!$C$2:$C$301,$AE50),""))</f>
        <v/>
      </c>
      <c r="I50" s="12">
        <f>IF($AE50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-46+0.5)/3.5))))</f>
        <v/>
      </c>
      <c r="J50" s="12">
        <f>IF($AE50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-46+0.5)/3.5))))</f>
        <v/>
      </c>
      <c r="K50" s="13">
        <f>IF($AE50="","",IFERROR(INDEX(Players!$U$2:$U$301,$AE50),""))</f>
        <v/>
      </c>
      <c r="L50" s="13">
        <f>IF($AE50="","",IFERROR(INDEX(Players!$X$2:$X$301,$AE50),""))</f>
        <v/>
      </c>
      <c r="M50" s="14">
        <f>IF($AE50="","",IFERROR(INDEX(Players!$K$2:$K$301,$AE50),""))</f>
        <v/>
      </c>
      <c r="N50" s="14">
        <f>IF($AE50="","",IFERROR(INDEX(Players!$H$2:$H$301,$AE50),""))</f>
        <v/>
      </c>
      <c r="O50" s="15">
        <f>IF($AE50="","",IFERROR(INDEX(Players!$G$2:$G$301,$AE50),""))</f>
        <v/>
      </c>
      <c r="P50" s="14">
        <f>IF($AE50="","",IFERROR(INDEX(Players!$I$2:$I$301,$AE50),""))</f>
        <v/>
      </c>
      <c r="Q50" s="14">
        <f>IF($AE50="","",IFERROR(INDEX(Players!$F$2:$F$301,$AE50),""))</f>
        <v/>
      </c>
      <c r="R50" s="14">
        <f>IF($AE50="","",IFERROR(INDEX(Players!$J$2:$J$301,$AE50),""))</f>
        <v/>
      </c>
      <c r="S50" s="15">
        <f>IF($AE50="","",IFERROR(INDEX(Players!$L$2:$L$301,$AE50),""))</f>
        <v/>
      </c>
      <c r="T50" s="14">
        <f>IF($AE50="","",IFERROR(INDEX(Players!$M$2:$M$301,$AE50),""))</f>
        <v/>
      </c>
      <c r="U50" s="14">
        <f>IF($AE50="","",IFERROR(INDEX(Players!$N$2:$N$301,$AE50),""))</f>
        <v/>
      </c>
      <c r="V50" s="14">
        <f>IF($AE50="","",IFERROR(INDEX(Players!$O$2:$O$301,$AE50),""))</f>
        <v/>
      </c>
      <c r="W50" s="14">
        <f>IF($AE50="","",IFERROR(INDEX(Players!$P$2:$P$301,$AE50),""))</f>
        <v/>
      </c>
      <c r="X50" s="14">
        <f>IF($AE50="","",IFERROR(INDEX(Players!$Q$2:$Q$301,$AE50),""))</f>
        <v/>
      </c>
      <c r="Y50" s="14">
        <f>IF($AE50="","",IFERROR(INDEX(Players!$R$2:$R$301,$AE50),""))</f>
        <v/>
      </c>
      <c r="AE50">
        <f>IFERROR(MATCH(LARGE(Players!$V$2:$V$301,46),Players!$V$2:$V$301,0),"")</f>
        <v/>
      </c>
    </row>
    <row r="51">
      <c r="A51" s="9" t="inlineStr">
        <is>
          <t>4.11</t>
        </is>
      </c>
      <c r="B51" s="18" t="inlineStr">
        <is>
          <t>Team 2</t>
        </is>
      </c>
      <c r="C51" s="19" t="n"/>
      <c r="E51" s="9" t="n">
        <v>47</v>
      </c>
      <c r="F51">
        <f>IF($AE51="","",IFERROR(INDEX(Players!$B$2:$B$301,$AE51),""))</f>
        <v/>
      </c>
      <c r="G51">
        <f>IF($AE51="","",IFERROR(INDEX(Players!$D$2:$D$301,$AE51),""))</f>
        <v/>
      </c>
      <c r="H51">
        <f>IF($AE51="","",IFERROR(INDEX(Players!$C$2:$C$301,$AE51),""))</f>
        <v/>
      </c>
      <c r="I51" s="12">
        <f>IF($AE51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-47+0.5)/3.5))))</f>
        <v/>
      </c>
      <c r="J51" s="12">
        <f>IF($AE51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-47+0.5)/3.5))))</f>
        <v/>
      </c>
      <c r="K51" s="13">
        <f>IF($AE51="","",IFERROR(INDEX(Players!$U$2:$U$301,$AE51),""))</f>
        <v/>
      </c>
      <c r="L51" s="13">
        <f>IF($AE51="","",IFERROR(INDEX(Players!$X$2:$X$301,$AE51),""))</f>
        <v/>
      </c>
      <c r="M51" s="14">
        <f>IF($AE51="","",IFERROR(INDEX(Players!$K$2:$K$301,$AE51),""))</f>
        <v/>
      </c>
      <c r="N51" s="14">
        <f>IF($AE51="","",IFERROR(INDEX(Players!$H$2:$H$301,$AE51),""))</f>
        <v/>
      </c>
      <c r="O51" s="15">
        <f>IF($AE51="","",IFERROR(INDEX(Players!$G$2:$G$301,$AE51),""))</f>
        <v/>
      </c>
      <c r="P51" s="14">
        <f>IF($AE51="","",IFERROR(INDEX(Players!$I$2:$I$301,$AE51),""))</f>
        <v/>
      </c>
      <c r="Q51" s="14">
        <f>IF($AE51="","",IFERROR(INDEX(Players!$F$2:$F$301,$AE51),""))</f>
        <v/>
      </c>
      <c r="R51" s="14">
        <f>IF($AE51="","",IFERROR(INDEX(Players!$J$2:$J$301,$AE51),""))</f>
        <v/>
      </c>
      <c r="S51" s="15">
        <f>IF($AE51="","",IFERROR(INDEX(Players!$L$2:$L$301,$AE51),""))</f>
        <v/>
      </c>
      <c r="T51" s="14">
        <f>IF($AE51="","",IFERROR(INDEX(Players!$M$2:$M$301,$AE51),""))</f>
        <v/>
      </c>
      <c r="U51" s="14">
        <f>IF($AE51="","",IFERROR(INDEX(Players!$N$2:$N$301,$AE51),""))</f>
        <v/>
      </c>
      <c r="V51" s="14">
        <f>IF($AE51="","",IFERROR(INDEX(Players!$O$2:$O$301,$AE51),""))</f>
        <v/>
      </c>
      <c r="W51" s="14">
        <f>IF($AE51="","",IFERROR(INDEX(Players!$P$2:$P$301,$AE51),""))</f>
        <v/>
      </c>
      <c r="X51" s="14">
        <f>IF($AE51="","",IFERROR(INDEX(Players!$Q$2:$Q$301,$AE51),""))</f>
        <v/>
      </c>
      <c r="Y51" s="14">
        <f>IF($AE51="","",IFERROR(INDEX(Players!$R$2:$R$301,$AE51),""))</f>
        <v/>
      </c>
      <c r="AE51">
        <f>IFERROR(MATCH(LARGE(Players!$V$2:$V$301,47),Players!$V$2:$V$301,0),"")</f>
        <v/>
      </c>
    </row>
    <row r="52">
      <c r="A52" s="9" t="inlineStr">
        <is>
          <t>4.12</t>
        </is>
      </c>
      <c r="B52" s="10" t="inlineStr">
        <is>
          <t>Team 1</t>
        </is>
      </c>
      <c r="C52" s="11" t="n"/>
      <c r="E52" s="9" t="n">
        <v>48</v>
      </c>
      <c r="F52">
        <f>IF($AE52="","",IFERROR(INDEX(Players!$B$2:$B$301,$AE52),""))</f>
        <v/>
      </c>
      <c r="G52">
        <f>IF($AE52="","",IFERROR(INDEX(Players!$D$2:$D$301,$AE52),""))</f>
        <v/>
      </c>
      <c r="H52">
        <f>IF($AE52="","",IFERROR(INDEX(Players!$C$2:$C$301,$AE52),""))</f>
        <v/>
      </c>
      <c r="I52" s="12">
        <f>IF($AE52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-48+0.5)/3.5))))</f>
        <v/>
      </c>
      <c r="J52" s="12">
        <f>IF($AE52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-48+0.5)/3.5))))</f>
        <v/>
      </c>
      <c r="K52" s="13">
        <f>IF($AE52="","",IFERROR(INDEX(Players!$U$2:$U$301,$AE52),""))</f>
        <v/>
      </c>
      <c r="L52" s="13">
        <f>IF($AE52="","",IFERROR(INDEX(Players!$X$2:$X$301,$AE52),""))</f>
        <v/>
      </c>
      <c r="M52" s="14">
        <f>IF($AE52="","",IFERROR(INDEX(Players!$K$2:$K$301,$AE52),""))</f>
        <v/>
      </c>
      <c r="N52" s="14">
        <f>IF($AE52="","",IFERROR(INDEX(Players!$H$2:$H$301,$AE52),""))</f>
        <v/>
      </c>
      <c r="O52" s="15">
        <f>IF($AE52="","",IFERROR(INDEX(Players!$G$2:$G$301,$AE52),""))</f>
        <v/>
      </c>
      <c r="P52" s="14">
        <f>IF($AE52="","",IFERROR(INDEX(Players!$I$2:$I$301,$AE52),""))</f>
        <v/>
      </c>
      <c r="Q52" s="14">
        <f>IF($AE52="","",IFERROR(INDEX(Players!$F$2:$F$301,$AE52),""))</f>
        <v/>
      </c>
      <c r="R52" s="14">
        <f>IF($AE52="","",IFERROR(INDEX(Players!$J$2:$J$301,$AE52),""))</f>
        <v/>
      </c>
      <c r="S52" s="15">
        <f>IF($AE52="","",IFERROR(INDEX(Players!$L$2:$L$301,$AE52),""))</f>
        <v/>
      </c>
      <c r="T52" s="14">
        <f>IF($AE52="","",IFERROR(INDEX(Players!$M$2:$M$301,$AE52),""))</f>
        <v/>
      </c>
      <c r="U52" s="14">
        <f>IF($AE52="","",IFERROR(INDEX(Players!$N$2:$N$301,$AE52),""))</f>
        <v/>
      </c>
      <c r="V52" s="14">
        <f>IF($AE52="","",IFERROR(INDEX(Players!$O$2:$O$301,$AE52),""))</f>
        <v/>
      </c>
      <c r="W52" s="14">
        <f>IF($AE52="","",IFERROR(INDEX(Players!$P$2:$P$301,$AE52),""))</f>
        <v/>
      </c>
      <c r="X52" s="14">
        <f>IF($AE52="","",IFERROR(INDEX(Players!$Q$2:$Q$301,$AE52),""))</f>
        <v/>
      </c>
      <c r="Y52" s="14">
        <f>IF($AE52="","",IFERROR(INDEX(Players!$R$2:$R$301,$AE52),""))</f>
        <v/>
      </c>
      <c r="AE52">
        <f>IFERROR(MATCH(LARGE(Players!$V$2:$V$301,48),Players!$V$2:$V$301,0),"")</f>
        <v/>
      </c>
    </row>
    <row r="53">
      <c r="A53" s="9" t="inlineStr">
        <is>
          <t>5.01</t>
        </is>
      </c>
      <c r="B53" s="10" t="inlineStr">
        <is>
          <t>Team 1</t>
        </is>
      </c>
      <c r="C53" s="11" t="n"/>
      <c r="E53" s="9" t="n">
        <v>49</v>
      </c>
      <c r="F53">
        <f>IF($AE53="","",IFERROR(INDEX(Players!$B$2:$B$301,$AE53),""))</f>
        <v/>
      </c>
      <c r="G53">
        <f>IF($AE53="","",IFERROR(INDEX(Players!$D$2:$D$301,$AE53),""))</f>
        <v/>
      </c>
      <c r="H53">
        <f>IF($AE53="","",IFERROR(INDEX(Players!$C$2:$C$301,$AE53),""))</f>
        <v/>
      </c>
      <c r="I53" s="12">
        <f>IF($AE53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-49+0.5)/3.5))))</f>
        <v/>
      </c>
      <c r="J53" s="12">
        <f>IF($AE53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-49+0.5)/3.5))))</f>
        <v/>
      </c>
      <c r="K53" s="13">
        <f>IF($AE53="","",IFERROR(INDEX(Players!$U$2:$U$301,$AE53),""))</f>
        <v/>
      </c>
      <c r="L53" s="13">
        <f>IF($AE53="","",IFERROR(INDEX(Players!$X$2:$X$301,$AE53),""))</f>
        <v/>
      </c>
      <c r="M53" s="14">
        <f>IF($AE53="","",IFERROR(INDEX(Players!$K$2:$K$301,$AE53),""))</f>
        <v/>
      </c>
      <c r="N53" s="14">
        <f>IF($AE53="","",IFERROR(INDEX(Players!$H$2:$H$301,$AE53),""))</f>
        <v/>
      </c>
      <c r="O53" s="15">
        <f>IF($AE53="","",IFERROR(INDEX(Players!$G$2:$G$301,$AE53),""))</f>
        <v/>
      </c>
      <c r="P53" s="14">
        <f>IF($AE53="","",IFERROR(INDEX(Players!$I$2:$I$301,$AE53),""))</f>
        <v/>
      </c>
      <c r="Q53" s="14">
        <f>IF($AE53="","",IFERROR(INDEX(Players!$F$2:$F$301,$AE53),""))</f>
        <v/>
      </c>
      <c r="R53" s="14">
        <f>IF($AE53="","",IFERROR(INDEX(Players!$J$2:$J$301,$AE53),""))</f>
        <v/>
      </c>
      <c r="S53" s="15">
        <f>IF($AE53="","",IFERROR(INDEX(Players!$L$2:$L$301,$AE53),""))</f>
        <v/>
      </c>
      <c r="T53" s="14">
        <f>IF($AE53="","",IFERROR(INDEX(Players!$M$2:$M$301,$AE53),""))</f>
        <v/>
      </c>
      <c r="U53" s="14">
        <f>IF($AE53="","",IFERROR(INDEX(Players!$N$2:$N$301,$AE53),""))</f>
        <v/>
      </c>
      <c r="V53" s="14">
        <f>IF($AE53="","",IFERROR(INDEX(Players!$O$2:$O$301,$AE53),""))</f>
        <v/>
      </c>
      <c r="W53" s="14">
        <f>IF($AE53="","",IFERROR(INDEX(Players!$P$2:$P$301,$AE53),""))</f>
        <v/>
      </c>
      <c r="X53" s="14">
        <f>IF($AE53="","",IFERROR(INDEX(Players!$Q$2:$Q$301,$AE53),""))</f>
        <v/>
      </c>
      <c r="Y53" s="14">
        <f>IF($AE53="","",IFERROR(INDEX(Players!$R$2:$R$301,$AE53),""))</f>
        <v/>
      </c>
      <c r="AE53">
        <f>IFERROR(MATCH(LARGE(Players!$V$2:$V$301,49),Players!$V$2:$V$301,0),"")</f>
        <v/>
      </c>
    </row>
    <row r="54">
      <c r="A54" s="9" t="inlineStr">
        <is>
          <t>5.02</t>
        </is>
      </c>
      <c r="B54" s="18" t="inlineStr">
        <is>
          <t>Team 2</t>
        </is>
      </c>
      <c r="C54" s="19" t="n"/>
      <c r="E54" s="9" t="n">
        <v>50</v>
      </c>
      <c r="F54">
        <f>IF($AE54="","",IFERROR(INDEX(Players!$B$2:$B$301,$AE54),""))</f>
        <v/>
      </c>
      <c r="G54">
        <f>IF($AE54="","",IFERROR(INDEX(Players!$D$2:$D$301,$AE54),""))</f>
        <v/>
      </c>
      <c r="H54">
        <f>IF($AE54="","",IFERROR(INDEX(Players!$C$2:$C$301,$AE54),""))</f>
        <v/>
      </c>
      <c r="I54" s="12">
        <f>IF($AE54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-50+0.5)/3.5))))</f>
        <v/>
      </c>
      <c r="J54" s="12">
        <f>IF($AE54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-50+0.5)/3.5))))</f>
        <v/>
      </c>
      <c r="K54" s="13">
        <f>IF($AE54="","",IFERROR(INDEX(Players!$U$2:$U$301,$AE54),""))</f>
        <v/>
      </c>
      <c r="L54" s="13">
        <f>IF($AE54="","",IFERROR(INDEX(Players!$X$2:$X$301,$AE54),""))</f>
        <v/>
      </c>
      <c r="M54" s="14">
        <f>IF($AE54="","",IFERROR(INDEX(Players!$K$2:$K$301,$AE54),""))</f>
        <v/>
      </c>
      <c r="N54" s="14">
        <f>IF($AE54="","",IFERROR(INDEX(Players!$H$2:$H$301,$AE54),""))</f>
        <v/>
      </c>
      <c r="O54" s="15">
        <f>IF($AE54="","",IFERROR(INDEX(Players!$G$2:$G$301,$AE54),""))</f>
        <v/>
      </c>
      <c r="P54" s="14">
        <f>IF($AE54="","",IFERROR(INDEX(Players!$I$2:$I$301,$AE54),""))</f>
        <v/>
      </c>
      <c r="Q54" s="14">
        <f>IF($AE54="","",IFERROR(INDEX(Players!$F$2:$F$301,$AE54),""))</f>
        <v/>
      </c>
      <c r="R54" s="14">
        <f>IF($AE54="","",IFERROR(INDEX(Players!$J$2:$J$301,$AE54),""))</f>
        <v/>
      </c>
      <c r="S54" s="15">
        <f>IF($AE54="","",IFERROR(INDEX(Players!$L$2:$L$301,$AE54),""))</f>
        <v/>
      </c>
      <c r="T54" s="14">
        <f>IF($AE54="","",IFERROR(INDEX(Players!$M$2:$M$301,$AE54),""))</f>
        <v/>
      </c>
      <c r="U54" s="14">
        <f>IF($AE54="","",IFERROR(INDEX(Players!$N$2:$N$301,$AE54),""))</f>
        <v/>
      </c>
      <c r="V54" s="14">
        <f>IF($AE54="","",IFERROR(INDEX(Players!$O$2:$O$301,$AE54),""))</f>
        <v/>
      </c>
      <c r="W54" s="14">
        <f>IF($AE54="","",IFERROR(INDEX(Players!$P$2:$P$301,$AE54),""))</f>
        <v/>
      </c>
      <c r="X54" s="14">
        <f>IF($AE54="","",IFERROR(INDEX(Players!$Q$2:$Q$301,$AE54),""))</f>
        <v/>
      </c>
      <c r="Y54" s="14">
        <f>IF($AE54="","",IFERROR(INDEX(Players!$R$2:$R$301,$AE54),""))</f>
        <v/>
      </c>
      <c r="AE54">
        <f>IFERROR(MATCH(LARGE(Players!$V$2:$V$301,50),Players!$V$2:$V$301,0),"")</f>
        <v/>
      </c>
    </row>
    <row r="55">
      <c r="A55" s="9" t="inlineStr">
        <is>
          <t>5.03</t>
        </is>
      </c>
      <c r="B55" s="18" t="inlineStr">
        <is>
          <t>Team 3</t>
        </is>
      </c>
      <c r="C55" s="19" t="n"/>
      <c r="E55" s="9" t="n">
        <v>51</v>
      </c>
      <c r="F55">
        <f>IF($AE55="","",IFERROR(INDEX(Players!$B$2:$B$301,$AE55),""))</f>
        <v/>
      </c>
      <c r="G55">
        <f>IF($AE55="","",IFERROR(INDEX(Players!$D$2:$D$301,$AE55),""))</f>
        <v/>
      </c>
      <c r="H55">
        <f>IF($AE55="","",IFERROR(INDEX(Players!$C$2:$C$301,$AE55),""))</f>
        <v/>
      </c>
      <c r="I55" s="12">
        <f>IF($AE55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-51+0.5)/3.5))))</f>
        <v/>
      </c>
      <c r="J55" s="12">
        <f>IF($AE55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-51+0.5)/3.5))))</f>
        <v/>
      </c>
      <c r="K55" s="13">
        <f>IF($AE55="","",IFERROR(INDEX(Players!$U$2:$U$301,$AE55),""))</f>
        <v/>
      </c>
      <c r="L55" s="13">
        <f>IF($AE55="","",IFERROR(INDEX(Players!$X$2:$X$301,$AE55),""))</f>
        <v/>
      </c>
      <c r="M55" s="14">
        <f>IF($AE55="","",IFERROR(INDEX(Players!$K$2:$K$301,$AE55),""))</f>
        <v/>
      </c>
      <c r="N55" s="14">
        <f>IF($AE55="","",IFERROR(INDEX(Players!$H$2:$H$301,$AE55),""))</f>
        <v/>
      </c>
      <c r="O55" s="15">
        <f>IF($AE55="","",IFERROR(INDEX(Players!$G$2:$G$301,$AE55),""))</f>
        <v/>
      </c>
      <c r="P55" s="14">
        <f>IF($AE55="","",IFERROR(INDEX(Players!$I$2:$I$301,$AE55),""))</f>
        <v/>
      </c>
      <c r="Q55" s="14">
        <f>IF($AE55="","",IFERROR(INDEX(Players!$F$2:$F$301,$AE55),""))</f>
        <v/>
      </c>
      <c r="R55" s="14">
        <f>IF($AE55="","",IFERROR(INDEX(Players!$J$2:$J$301,$AE55),""))</f>
        <v/>
      </c>
      <c r="S55" s="15">
        <f>IF($AE55="","",IFERROR(INDEX(Players!$L$2:$L$301,$AE55),""))</f>
        <v/>
      </c>
      <c r="T55" s="14">
        <f>IF($AE55="","",IFERROR(INDEX(Players!$M$2:$M$301,$AE55),""))</f>
        <v/>
      </c>
      <c r="U55" s="14">
        <f>IF($AE55="","",IFERROR(INDEX(Players!$N$2:$N$301,$AE55),""))</f>
        <v/>
      </c>
      <c r="V55" s="14">
        <f>IF($AE55="","",IFERROR(INDEX(Players!$O$2:$O$301,$AE55),""))</f>
        <v/>
      </c>
      <c r="W55" s="14">
        <f>IF($AE55="","",IFERROR(INDEX(Players!$P$2:$P$301,$AE55),""))</f>
        <v/>
      </c>
      <c r="X55" s="14">
        <f>IF($AE55="","",IFERROR(INDEX(Players!$Q$2:$Q$301,$AE55),""))</f>
        <v/>
      </c>
      <c r="Y55" s="14">
        <f>IF($AE55="","",IFERROR(INDEX(Players!$R$2:$R$301,$AE55),""))</f>
        <v/>
      </c>
      <c r="AE55">
        <f>IFERROR(MATCH(LARGE(Players!$V$2:$V$301,51),Players!$V$2:$V$301,0),"")</f>
        <v/>
      </c>
    </row>
    <row r="56">
      <c r="A56" s="9" t="inlineStr">
        <is>
          <t>5.04</t>
        </is>
      </c>
      <c r="B56" s="18" t="inlineStr">
        <is>
          <t>Team 4</t>
        </is>
      </c>
      <c r="C56" s="19" t="n"/>
      <c r="E56" s="9" t="n">
        <v>52</v>
      </c>
      <c r="F56">
        <f>IF($AE56="","",IFERROR(INDEX(Players!$B$2:$B$301,$AE56),""))</f>
        <v/>
      </c>
      <c r="G56">
        <f>IF($AE56="","",IFERROR(INDEX(Players!$D$2:$D$301,$AE56),""))</f>
        <v/>
      </c>
      <c r="H56">
        <f>IF($AE56="","",IFERROR(INDEX(Players!$C$2:$C$301,$AE56),""))</f>
        <v/>
      </c>
      <c r="I56" s="12">
        <f>IF($AE56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-52+0.5)/3.5))))</f>
        <v/>
      </c>
      <c r="J56" s="12">
        <f>IF($AE56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-52+0.5)/3.5))))</f>
        <v/>
      </c>
      <c r="K56" s="13">
        <f>IF($AE56="","",IFERROR(INDEX(Players!$U$2:$U$301,$AE56),""))</f>
        <v/>
      </c>
      <c r="L56" s="13">
        <f>IF($AE56="","",IFERROR(INDEX(Players!$X$2:$X$301,$AE56),""))</f>
        <v/>
      </c>
      <c r="M56" s="14">
        <f>IF($AE56="","",IFERROR(INDEX(Players!$K$2:$K$301,$AE56),""))</f>
        <v/>
      </c>
      <c r="N56" s="14">
        <f>IF($AE56="","",IFERROR(INDEX(Players!$H$2:$H$301,$AE56),""))</f>
        <v/>
      </c>
      <c r="O56" s="15">
        <f>IF($AE56="","",IFERROR(INDEX(Players!$G$2:$G$301,$AE56),""))</f>
        <v/>
      </c>
      <c r="P56" s="14">
        <f>IF($AE56="","",IFERROR(INDEX(Players!$I$2:$I$301,$AE56),""))</f>
        <v/>
      </c>
      <c r="Q56" s="14">
        <f>IF($AE56="","",IFERROR(INDEX(Players!$F$2:$F$301,$AE56),""))</f>
        <v/>
      </c>
      <c r="R56" s="14">
        <f>IF($AE56="","",IFERROR(INDEX(Players!$J$2:$J$301,$AE56),""))</f>
        <v/>
      </c>
      <c r="S56" s="15">
        <f>IF($AE56="","",IFERROR(INDEX(Players!$L$2:$L$301,$AE56),""))</f>
        <v/>
      </c>
      <c r="T56" s="14">
        <f>IF($AE56="","",IFERROR(INDEX(Players!$M$2:$M$301,$AE56),""))</f>
        <v/>
      </c>
      <c r="U56" s="14">
        <f>IF($AE56="","",IFERROR(INDEX(Players!$N$2:$N$301,$AE56),""))</f>
        <v/>
      </c>
      <c r="V56" s="14">
        <f>IF($AE56="","",IFERROR(INDEX(Players!$O$2:$O$301,$AE56),""))</f>
        <v/>
      </c>
      <c r="W56" s="14">
        <f>IF($AE56="","",IFERROR(INDEX(Players!$P$2:$P$301,$AE56),""))</f>
        <v/>
      </c>
      <c r="X56" s="14">
        <f>IF($AE56="","",IFERROR(INDEX(Players!$Q$2:$Q$301,$AE56),""))</f>
        <v/>
      </c>
      <c r="Y56" s="14">
        <f>IF($AE56="","",IFERROR(INDEX(Players!$R$2:$R$301,$AE56),""))</f>
        <v/>
      </c>
      <c r="AE56">
        <f>IFERROR(MATCH(LARGE(Players!$V$2:$V$301,52),Players!$V$2:$V$301,0),"")</f>
        <v/>
      </c>
    </row>
    <row r="57">
      <c r="A57" s="9" t="inlineStr">
        <is>
          <t>5.05</t>
        </is>
      </c>
      <c r="B57" s="18" t="inlineStr">
        <is>
          <t>Team 5</t>
        </is>
      </c>
      <c r="C57" s="19" t="n"/>
      <c r="E57" s="9" t="n">
        <v>53</v>
      </c>
      <c r="F57">
        <f>IF($AE57="","",IFERROR(INDEX(Players!$B$2:$B$301,$AE57),""))</f>
        <v/>
      </c>
      <c r="G57">
        <f>IF($AE57="","",IFERROR(INDEX(Players!$D$2:$D$301,$AE57),""))</f>
        <v/>
      </c>
      <c r="H57">
        <f>IF($AE57="","",IFERROR(INDEX(Players!$C$2:$C$301,$AE57),""))</f>
        <v/>
      </c>
      <c r="I57" s="12">
        <f>IF($AE57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-53+0.5)/3.5))))</f>
        <v/>
      </c>
      <c r="J57" s="12">
        <f>IF($AE57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-53+0.5)/3.5))))</f>
        <v/>
      </c>
      <c r="K57" s="13">
        <f>IF($AE57="","",IFERROR(INDEX(Players!$U$2:$U$301,$AE57),""))</f>
        <v/>
      </c>
      <c r="L57" s="13">
        <f>IF($AE57="","",IFERROR(INDEX(Players!$X$2:$X$301,$AE57),""))</f>
        <v/>
      </c>
      <c r="M57" s="14">
        <f>IF($AE57="","",IFERROR(INDEX(Players!$K$2:$K$301,$AE57),""))</f>
        <v/>
      </c>
      <c r="N57" s="14">
        <f>IF($AE57="","",IFERROR(INDEX(Players!$H$2:$H$301,$AE57),""))</f>
        <v/>
      </c>
      <c r="O57" s="15">
        <f>IF($AE57="","",IFERROR(INDEX(Players!$G$2:$G$301,$AE57),""))</f>
        <v/>
      </c>
      <c r="P57" s="14">
        <f>IF($AE57="","",IFERROR(INDEX(Players!$I$2:$I$301,$AE57),""))</f>
        <v/>
      </c>
      <c r="Q57" s="14">
        <f>IF($AE57="","",IFERROR(INDEX(Players!$F$2:$F$301,$AE57),""))</f>
        <v/>
      </c>
      <c r="R57" s="14">
        <f>IF($AE57="","",IFERROR(INDEX(Players!$J$2:$J$301,$AE57),""))</f>
        <v/>
      </c>
      <c r="S57" s="15">
        <f>IF($AE57="","",IFERROR(INDEX(Players!$L$2:$L$301,$AE57),""))</f>
        <v/>
      </c>
      <c r="T57" s="14">
        <f>IF($AE57="","",IFERROR(INDEX(Players!$M$2:$M$301,$AE57),""))</f>
        <v/>
      </c>
      <c r="U57" s="14">
        <f>IF($AE57="","",IFERROR(INDEX(Players!$N$2:$N$301,$AE57),""))</f>
        <v/>
      </c>
      <c r="V57" s="14">
        <f>IF($AE57="","",IFERROR(INDEX(Players!$O$2:$O$301,$AE57),""))</f>
        <v/>
      </c>
      <c r="W57" s="14">
        <f>IF($AE57="","",IFERROR(INDEX(Players!$P$2:$P$301,$AE57),""))</f>
        <v/>
      </c>
      <c r="X57" s="14">
        <f>IF($AE57="","",IFERROR(INDEX(Players!$Q$2:$Q$301,$AE57),""))</f>
        <v/>
      </c>
      <c r="Y57" s="14">
        <f>IF($AE57="","",IFERROR(INDEX(Players!$R$2:$R$301,$AE57),""))</f>
        <v/>
      </c>
      <c r="AE57">
        <f>IFERROR(MATCH(LARGE(Players!$V$2:$V$301,53),Players!$V$2:$V$301,0),"")</f>
        <v/>
      </c>
    </row>
    <row r="58">
      <c r="A58" s="9" t="inlineStr">
        <is>
          <t>5.06</t>
        </is>
      </c>
      <c r="B58" s="18" t="inlineStr">
        <is>
          <t>Team 6</t>
        </is>
      </c>
      <c r="C58" s="19" t="n"/>
      <c r="E58" s="9" t="n">
        <v>54</v>
      </c>
      <c r="F58">
        <f>IF($AE58="","",IFERROR(INDEX(Players!$B$2:$B$301,$AE58),""))</f>
        <v/>
      </c>
      <c r="G58">
        <f>IF($AE58="","",IFERROR(INDEX(Players!$D$2:$D$301,$AE58),""))</f>
        <v/>
      </c>
      <c r="H58">
        <f>IF($AE58="","",IFERROR(INDEX(Players!$C$2:$C$301,$AE58),""))</f>
        <v/>
      </c>
      <c r="I58" s="12">
        <f>IF($AE58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-54+0.5)/3.5))))</f>
        <v/>
      </c>
      <c r="J58" s="12">
        <f>IF($AE58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-54+0.5)/3.5))))</f>
        <v/>
      </c>
      <c r="K58" s="13">
        <f>IF($AE58="","",IFERROR(INDEX(Players!$U$2:$U$301,$AE58),""))</f>
        <v/>
      </c>
      <c r="L58" s="13">
        <f>IF($AE58="","",IFERROR(INDEX(Players!$X$2:$X$301,$AE58),""))</f>
        <v/>
      </c>
      <c r="M58" s="14">
        <f>IF($AE58="","",IFERROR(INDEX(Players!$K$2:$K$301,$AE58),""))</f>
        <v/>
      </c>
      <c r="N58" s="14">
        <f>IF($AE58="","",IFERROR(INDEX(Players!$H$2:$H$301,$AE58),""))</f>
        <v/>
      </c>
      <c r="O58" s="15">
        <f>IF($AE58="","",IFERROR(INDEX(Players!$G$2:$G$301,$AE58),""))</f>
        <v/>
      </c>
      <c r="P58" s="14">
        <f>IF($AE58="","",IFERROR(INDEX(Players!$I$2:$I$301,$AE58),""))</f>
        <v/>
      </c>
      <c r="Q58" s="14">
        <f>IF($AE58="","",IFERROR(INDEX(Players!$F$2:$F$301,$AE58),""))</f>
        <v/>
      </c>
      <c r="R58" s="14">
        <f>IF($AE58="","",IFERROR(INDEX(Players!$J$2:$J$301,$AE58),""))</f>
        <v/>
      </c>
      <c r="S58" s="15">
        <f>IF($AE58="","",IFERROR(INDEX(Players!$L$2:$L$301,$AE58),""))</f>
        <v/>
      </c>
      <c r="T58" s="14">
        <f>IF($AE58="","",IFERROR(INDEX(Players!$M$2:$M$301,$AE58),""))</f>
        <v/>
      </c>
      <c r="U58" s="14">
        <f>IF($AE58="","",IFERROR(INDEX(Players!$N$2:$N$301,$AE58),""))</f>
        <v/>
      </c>
      <c r="V58" s="14">
        <f>IF($AE58="","",IFERROR(INDEX(Players!$O$2:$O$301,$AE58),""))</f>
        <v/>
      </c>
      <c r="W58" s="14">
        <f>IF($AE58="","",IFERROR(INDEX(Players!$P$2:$P$301,$AE58),""))</f>
        <v/>
      </c>
      <c r="X58" s="14">
        <f>IF($AE58="","",IFERROR(INDEX(Players!$Q$2:$Q$301,$AE58),""))</f>
        <v/>
      </c>
      <c r="Y58" s="14">
        <f>IF($AE58="","",IFERROR(INDEX(Players!$R$2:$R$301,$AE58),""))</f>
        <v/>
      </c>
      <c r="AE58">
        <f>IFERROR(MATCH(LARGE(Players!$V$2:$V$301,54),Players!$V$2:$V$301,0),"")</f>
        <v/>
      </c>
    </row>
    <row r="59">
      <c r="A59" s="9" t="inlineStr">
        <is>
          <t>5.07</t>
        </is>
      </c>
      <c r="B59" s="18" t="inlineStr">
        <is>
          <t>Team 7</t>
        </is>
      </c>
      <c r="C59" s="19" t="n"/>
      <c r="E59" s="9" t="n">
        <v>55</v>
      </c>
      <c r="F59">
        <f>IF($AE59="","",IFERROR(INDEX(Players!$B$2:$B$301,$AE59),""))</f>
        <v/>
      </c>
      <c r="G59">
        <f>IF($AE59="","",IFERROR(INDEX(Players!$D$2:$D$301,$AE59),""))</f>
        <v/>
      </c>
      <c r="H59">
        <f>IF($AE59="","",IFERROR(INDEX(Players!$C$2:$C$301,$AE59),""))</f>
        <v/>
      </c>
      <c r="I59" s="12">
        <f>IF($AE59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-55+0.5)/3.5))))</f>
        <v/>
      </c>
      <c r="J59" s="12">
        <f>IF($AE59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-55+0.5)/3.5))))</f>
        <v/>
      </c>
      <c r="K59" s="13">
        <f>IF($AE59="","",IFERROR(INDEX(Players!$U$2:$U$301,$AE59),""))</f>
        <v/>
      </c>
      <c r="L59" s="13">
        <f>IF($AE59="","",IFERROR(INDEX(Players!$X$2:$X$301,$AE59),""))</f>
        <v/>
      </c>
      <c r="M59" s="14">
        <f>IF($AE59="","",IFERROR(INDEX(Players!$K$2:$K$301,$AE59),""))</f>
        <v/>
      </c>
      <c r="N59" s="14">
        <f>IF($AE59="","",IFERROR(INDEX(Players!$H$2:$H$301,$AE59),""))</f>
        <v/>
      </c>
      <c r="O59" s="15">
        <f>IF($AE59="","",IFERROR(INDEX(Players!$G$2:$G$301,$AE59),""))</f>
        <v/>
      </c>
      <c r="P59" s="14">
        <f>IF($AE59="","",IFERROR(INDEX(Players!$I$2:$I$301,$AE59),""))</f>
        <v/>
      </c>
      <c r="Q59" s="14">
        <f>IF($AE59="","",IFERROR(INDEX(Players!$F$2:$F$301,$AE59),""))</f>
        <v/>
      </c>
      <c r="R59" s="14">
        <f>IF($AE59="","",IFERROR(INDEX(Players!$J$2:$J$301,$AE59),""))</f>
        <v/>
      </c>
      <c r="S59" s="15">
        <f>IF($AE59="","",IFERROR(INDEX(Players!$L$2:$L$301,$AE59),""))</f>
        <v/>
      </c>
      <c r="T59" s="14">
        <f>IF($AE59="","",IFERROR(INDEX(Players!$M$2:$M$301,$AE59),""))</f>
        <v/>
      </c>
      <c r="U59" s="14">
        <f>IF($AE59="","",IFERROR(INDEX(Players!$N$2:$N$301,$AE59),""))</f>
        <v/>
      </c>
      <c r="V59" s="14">
        <f>IF($AE59="","",IFERROR(INDEX(Players!$O$2:$O$301,$AE59),""))</f>
        <v/>
      </c>
      <c r="W59" s="14">
        <f>IF($AE59="","",IFERROR(INDEX(Players!$P$2:$P$301,$AE59),""))</f>
        <v/>
      </c>
      <c r="X59" s="14">
        <f>IF($AE59="","",IFERROR(INDEX(Players!$Q$2:$Q$301,$AE59),""))</f>
        <v/>
      </c>
      <c r="Y59" s="14">
        <f>IF($AE59="","",IFERROR(INDEX(Players!$R$2:$R$301,$AE59),""))</f>
        <v/>
      </c>
      <c r="AE59">
        <f>IFERROR(MATCH(LARGE(Players!$V$2:$V$301,55),Players!$V$2:$V$301,0),"")</f>
        <v/>
      </c>
    </row>
    <row r="60">
      <c r="A60" s="9" t="inlineStr">
        <is>
          <t>5.08</t>
        </is>
      </c>
      <c r="B60" s="18" t="inlineStr">
        <is>
          <t>Team 8</t>
        </is>
      </c>
      <c r="C60" s="19" t="n"/>
      <c r="E60" s="9" t="n">
        <v>56</v>
      </c>
      <c r="F60">
        <f>IF($AE60="","",IFERROR(INDEX(Players!$B$2:$B$301,$AE60),""))</f>
        <v/>
      </c>
      <c r="G60">
        <f>IF($AE60="","",IFERROR(INDEX(Players!$D$2:$D$301,$AE60),""))</f>
        <v/>
      </c>
      <c r="H60">
        <f>IF($AE60="","",IFERROR(INDEX(Players!$C$2:$C$301,$AE60),""))</f>
        <v/>
      </c>
      <c r="I60" s="12">
        <f>IF($AE60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-56+0.5)/3.5))))</f>
        <v/>
      </c>
      <c r="J60" s="12">
        <f>IF($AE60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-56+0.5)/3.5))))</f>
        <v/>
      </c>
      <c r="K60" s="13">
        <f>IF($AE60="","",IFERROR(INDEX(Players!$U$2:$U$301,$AE60),""))</f>
        <v/>
      </c>
      <c r="L60" s="13">
        <f>IF($AE60="","",IFERROR(INDEX(Players!$X$2:$X$301,$AE60),""))</f>
        <v/>
      </c>
      <c r="M60" s="14">
        <f>IF($AE60="","",IFERROR(INDEX(Players!$K$2:$K$301,$AE60),""))</f>
        <v/>
      </c>
      <c r="N60" s="14">
        <f>IF($AE60="","",IFERROR(INDEX(Players!$H$2:$H$301,$AE60),""))</f>
        <v/>
      </c>
      <c r="O60" s="15">
        <f>IF($AE60="","",IFERROR(INDEX(Players!$G$2:$G$301,$AE60),""))</f>
        <v/>
      </c>
      <c r="P60" s="14">
        <f>IF($AE60="","",IFERROR(INDEX(Players!$I$2:$I$301,$AE60),""))</f>
        <v/>
      </c>
      <c r="Q60" s="14">
        <f>IF($AE60="","",IFERROR(INDEX(Players!$F$2:$F$301,$AE60),""))</f>
        <v/>
      </c>
      <c r="R60" s="14">
        <f>IF($AE60="","",IFERROR(INDEX(Players!$J$2:$J$301,$AE60),""))</f>
        <v/>
      </c>
      <c r="S60" s="15">
        <f>IF($AE60="","",IFERROR(INDEX(Players!$L$2:$L$301,$AE60),""))</f>
        <v/>
      </c>
      <c r="T60" s="14">
        <f>IF($AE60="","",IFERROR(INDEX(Players!$M$2:$M$301,$AE60),""))</f>
        <v/>
      </c>
      <c r="U60" s="14">
        <f>IF($AE60="","",IFERROR(INDEX(Players!$N$2:$N$301,$AE60),""))</f>
        <v/>
      </c>
      <c r="V60" s="14">
        <f>IF($AE60="","",IFERROR(INDEX(Players!$O$2:$O$301,$AE60),""))</f>
        <v/>
      </c>
      <c r="W60" s="14">
        <f>IF($AE60="","",IFERROR(INDEX(Players!$P$2:$P$301,$AE60),""))</f>
        <v/>
      </c>
      <c r="X60" s="14">
        <f>IF($AE60="","",IFERROR(INDEX(Players!$Q$2:$Q$301,$AE60),""))</f>
        <v/>
      </c>
      <c r="Y60" s="14">
        <f>IF($AE60="","",IFERROR(INDEX(Players!$R$2:$R$301,$AE60),""))</f>
        <v/>
      </c>
      <c r="AE60">
        <f>IFERROR(MATCH(LARGE(Players!$V$2:$V$301,56),Players!$V$2:$V$301,0),"")</f>
        <v/>
      </c>
    </row>
    <row r="61">
      <c r="A61" s="9" t="inlineStr">
        <is>
          <t>5.09</t>
        </is>
      </c>
      <c r="B61" s="18" t="inlineStr">
        <is>
          <t>Team 9</t>
        </is>
      </c>
      <c r="C61" s="19" t="n"/>
      <c r="E61" s="9" t="n">
        <v>57</v>
      </c>
      <c r="F61">
        <f>IF($AE61="","",IFERROR(INDEX(Players!$B$2:$B$301,$AE61),""))</f>
        <v/>
      </c>
      <c r="G61">
        <f>IF($AE61="","",IFERROR(INDEX(Players!$D$2:$D$301,$AE61),""))</f>
        <v/>
      </c>
      <c r="H61">
        <f>IF($AE61="","",IFERROR(INDEX(Players!$C$2:$C$301,$AE61),""))</f>
        <v/>
      </c>
      <c r="I61" s="12">
        <f>IF($AE61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-57+0.5)/3.5))))</f>
        <v/>
      </c>
      <c r="J61" s="12">
        <f>IF($AE61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-57+0.5)/3.5))))</f>
        <v/>
      </c>
      <c r="K61" s="13">
        <f>IF($AE61="","",IFERROR(INDEX(Players!$U$2:$U$301,$AE61),""))</f>
        <v/>
      </c>
      <c r="L61" s="13">
        <f>IF($AE61="","",IFERROR(INDEX(Players!$X$2:$X$301,$AE61),""))</f>
        <v/>
      </c>
      <c r="M61" s="14">
        <f>IF($AE61="","",IFERROR(INDEX(Players!$K$2:$K$301,$AE61),""))</f>
        <v/>
      </c>
      <c r="N61" s="14">
        <f>IF($AE61="","",IFERROR(INDEX(Players!$H$2:$H$301,$AE61),""))</f>
        <v/>
      </c>
      <c r="O61" s="15">
        <f>IF($AE61="","",IFERROR(INDEX(Players!$G$2:$G$301,$AE61),""))</f>
        <v/>
      </c>
      <c r="P61" s="14">
        <f>IF($AE61="","",IFERROR(INDEX(Players!$I$2:$I$301,$AE61),""))</f>
        <v/>
      </c>
      <c r="Q61" s="14">
        <f>IF($AE61="","",IFERROR(INDEX(Players!$F$2:$F$301,$AE61),""))</f>
        <v/>
      </c>
      <c r="R61" s="14">
        <f>IF($AE61="","",IFERROR(INDEX(Players!$J$2:$J$301,$AE61),""))</f>
        <v/>
      </c>
      <c r="S61" s="15">
        <f>IF($AE61="","",IFERROR(INDEX(Players!$L$2:$L$301,$AE61),""))</f>
        <v/>
      </c>
      <c r="T61" s="14">
        <f>IF($AE61="","",IFERROR(INDEX(Players!$M$2:$M$301,$AE61),""))</f>
        <v/>
      </c>
      <c r="U61" s="14">
        <f>IF($AE61="","",IFERROR(INDEX(Players!$N$2:$N$301,$AE61),""))</f>
        <v/>
      </c>
      <c r="V61" s="14">
        <f>IF($AE61="","",IFERROR(INDEX(Players!$O$2:$O$301,$AE61),""))</f>
        <v/>
      </c>
      <c r="W61" s="14">
        <f>IF($AE61="","",IFERROR(INDEX(Players!$P$2:$P$301,$AE61),""))</f>
        <v/>
      </c>
      <c r="X61" s="14">
        <f>IF($AE61="","",IFERROR(INDEX(Players!$Q$2:$Q$301,$AE61),""))</f>
        <v/>
      </c>
      <c r="Y61" s="14">
        <f>IF($AE61="","",IFERROR(INDEX(Players!$R$2:$R$301,$AE61),""))</f>
        <v/>
      </c>
      <c r="AE61">
        <f>IFERROR(MATCH(LARGE(Players!$V$2:$V$301,57),Players!$V$2:$V$301,0),"")</f>
        <v/>
      </c>
    </row>
    <row r="62">
      <c r="A62" s="9" t="inlineStr">
        <is>
          <t>5.10</t>
        </is>
      </c>
      <c r="B62" s="18" t="inlineStr">
        <is>
          <t>Team 10</t>
        </is>
      </c>
      <c r="C62" s="19" t="n"/>
      <c r="E62" s="9" t="n">
        <v>58</v>
      </c>
      <c r="F62">
        <f>IF($AE62="","",IFERROR(INDEX(Players!$B$2:$B$301,$AE62),""))</f>
        <v/>
      </c>
      <c r="G62">
        <f>IF($AE62="","",IFERROR(INDEX(Players!$D$2:$D$301,$AE62),""))</f>
        <v/>
      </c>
      <c r="H62">
        <f>IF($AE62="","",IFERROR(INDEX(Players!$C$2:$C$301,$AE62),""))</f>
        <v/>
      </c>
      <c r="I62" s="12">
        <f>IF($AE62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-58+0.5)/3.5))))</f>
        <v/>
      </c>
      <c r="J62" s="12">
        <f>IF($AE62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-58+0.5)/3.5))))</f>
        <v/>
      </c>
      <c r="K62" s="13">
        <f>IF($AE62="","",IFERROR(INDEX(Players!$U$2:$U$301,$AE62),""))</f>
        <v/>
      </c>
      <c r="L62" s="13">
        <f>IF($AE62="","",IFERROR(INDEX(Players!$X$2:$X$301,$AE62),""))</f>
        <v/>
      </c>
      <c r="M62" s="14">
        <f>IF($AE62="","",IFERROR(INDEX(Players!$K$2:$K$301,$AE62),""))</f>
        <v/>
      </c>
      <c r="N62" s="14">
        <f>IF($AE62="","",IFERROR(INDEX(Players!$H$2:$H$301,$AE62),""))</f>
        <v/>
      </c>
      <c r="O62" s="15">
        <f>IF($AE62="","",IFERROR(INDEX(Players!$G$2:$G$301,$AE62),""))</f>
        <v/>
      </c>
      <c r="P62" s="14">
        <f>IF($AE62="","",IFERROR(INDEX(Players!$I$2:$I$301,$AE62),""))</f>
        <v/>
      </c>
      <c r="Q62" s="14">
        <f>IF($AE62="","",IFERROR(INDEX(Players!$F$2:$F$301,$AE62),""))</f>
        <v/>
      </c>
      <c r="R62" s="14">
        <f>IF($AE62="","",IFERROR(INDEX(Players!$J$2:$J$301,$AE62),""))</f>
        <v/>
      </c>
      <c r="S62" s="15">
        <f>IF($AE62="","",IFERROR(INDEX(Players!$L$2:$L$301,$AE62),""))</f>
        <v/>
      </c>
      <c r="T62" s="14">
        <f>IF($AE62="","",IFERROR(INDEX(Players!$M$2:$M$301,$AE62),""))</f>
        <v/>
      </c>
      <c r="U62" s="14">
        <f>IF($AE62="","",IFERROR(INDEX(Players!$N$2:$N$301,$AE62),""))</f>
        <v/>
      </c>
      <c r="V62" s="14">
        <f>IF($AE62="","",IFERROR(INDEX(Players!$O$2:$O$301,$AE62),""))</f>
        <v/>
      </c>
      <c r="W62" s="14">
        <f>IF($AE62="","",IFERROR(INDEX(Players!$P$2:$P$301,$AE62),""))</f>
        <v/>
      </c>
      <c r="X62" s="14">
        <f>IF($AE62="","",IFERROR(INDEX(Players!$Q$2:$Q$301,$AE62),""))</f>
        <v/>
      </c>
      <c r="Y62" s="14">
        <f>IF($AE62="","",IFERROR(INDEX(Players!$R$2:$R$301,$AE62),""))</f>
        <v/>
      </c>
      <c r="AE62">
        <f>IFERROR(MATCH(LARGE(Players!$V$2:$V$301,58),Players!$V$2:$V$301,0),"")</f>
        <v/>
      </c>
    </row>
    <row r="63">
      <c r="A63" s="9" t="inlineStr">
        <is>
          <t>5.11</t>
        </is>
      </c>
      <c r="B63" s="18" t="inlineStr">
        <is>
          <t>Team 11</t>
        </is>
      </c>
      <c r="C63" s="19" t="n"/>
      <c r="E63" s="9" t="n">
        <v>59</v>
      </c>
      <c r="F63">
        <f>IF($AE63="","",IFERROR(INDEX(Players!$B$2:$B$301,$AE63),""))</f>
        <v/>
      </c>
      <c r="G63">
        <f>IF($AE63="","",IFERROR(INDEX(Players!$D$2:$D$301,$AE63),""))</f>
        <v/>
      </c>
      <c r="H63">
        <f>IF($AE63="","",IFERROR(INDEX(Players!$C$2:$C$301,$AE63),""))</f>
        <v/>
      </c>
      <c r="I63" s="12">
        <f>IF($AE63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-59+0.5)/3.5))))</f>
        <v/>
      </c>
      <c r="J63" s="12">
        <f>IF($AE63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-59+0.5)/3.5))))</f>
        <v/>
      </c>
      <c r="K63" s="13">
        <f>IF($AE63="","",IFERROR(INDEX(Players!$U$2:$U$301,$AE63),""))</f>
        <v/>
      </c>
      <c r="L63" s="13">
        <f>IF($AE63="","",IFERROR(INDEX(Players!$X$2:$X$301,$AE63),""))</f>
        <v/>
      </c>
      <c r="M63" s="14">
        <f>IF($AE63="","",IFERROR(INDEX(Players!$K$2:$K$301,$AE63),""))</f>
        <v/>
      </c>
      <c r="N63" s="14">
        <f>IF($AE63="","",IFERROR(INDEX(Players!$H$2:$H$301,$AE63),""))</f>
        <v/>
      </c>
      <c r="O63" s="15">
        <f>IF($AE63="","",IFERROR(INDEX(Players!$G$2:$G$301,$AE63),""))</f>
        <v/>
      </c>
      <c r="P63" s="14">
        <f>IF($AE63="","",IFERROR(INDEX(Players!$I$2:$I$301,$AE63),""))</f>
        <v/>
      </c>
      <c r="Q63" s="14">
        <f>IF($AE63="","",IFERROR(INDEX(Players!$F$2:$F$301,$AE63),""))</f>
        <v/>
      </c>
      <c r="R63" s="14">
        <f>IF($AE63="","",IFERROR(INDEX(Players!$J$2:$J$301,$AE63),""))</f>
        <v/>
      </c>
      <c r="S63" s="15">
        <f>IF($AE63="","",IFERROR(INDEX(Players!$L$2:$L$301,$AE63),""))</f>
        <v/>
      </c>
      <c r="T63" s="14">
        <f>IF($AE63="","",IFERROR(INDEX(Players!$M$2:$M$301,$AE63),""))</f>
        <v/>
      </c>
      <c r="U63" s="14">
        <f>IF($AE63="","",IFERROR(INDEX(Players!$N$2:$N$301,$AE63),""))</f>
        <v/>
      </c>
      <c r="V63" s="14">
        <f>IF($AE63="","",IFERROR(INDEX(Players!$O$2:$O$301,$AE63),""))</f>
        <v/>
      </c>
      <c r="W63" s="14">
        <f>IF($AE63="","",IFERROR(INDEX(Players!$P$2:$P$301,$AE63),""))</f>
        <v/>
      </c>
      <c r="X63" s="14">
        <f>IF($AE63="","",IFERROR(INDEX(Players!$Q$2:$Q$301,$AE63),""))</f>
        <v/>
      </c>
      <c r="Y63" s="14">
        <f>IF($AE63="","",IFERROR(INDEX(Players!$R$2:$R$301,$AE63),""))</f>
        <v/>
      </c>
      <c r="AE63">
        <f>IFERROR(MATCH(LARGE(Players!$V$2:$V$301,59),Players!$V$2:$V$301,0),"")</f>
        <v/>
      </c>
    </row>
    <row r="64">
      <c r="A64" s="9" t="inlineStr">
        <is>
          <t>5.12</t>
        </is>
      </c>
      <c r="B64" s="18" t="inlineStr">
        <is>
          <t>Team 12</t>
        </is>
      </c>
      <c r="C64" s="19" t="n"/>
      <c r="E64" s="9" t="n">
        <v>60</v>
      </c>
      <c r="F64">
        <f>IF($AE64="","",IFERROR(INDEX(Players!$B$2:$B$301,$AE64),""))</f>
        <v/>
      </c>
      <c r="G64">
        <f>IF($AE64="","",IFERROR(INDEX(Players!$D$2:$D$301,$AE64),""))</f>
        <v/>
      </c>
      <c r="H64">
        <f>IF($AE64="","",IFERROR(INDEX(Players!$C$2:$C$301,$AE64),""))</f>
        <v/>
      </c>
      <c r="I64" s="12">
        <f>IF($AE64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-60+0.5)/3.5))))</f>
        <v/>
      </c>
      <c r="J64" s="12">
        <f>IF($AE64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-60+0.5)/3.5))))</f>
        <v/>
      </c>
      <c r="K64" s="13">
        <f>IF($AE64="","",IFERROR(INDEX(Players!$U$2:$U$301,$AE64),""))</f>
        <v/>
      </c>
      <c r="L64" s="13">
        <f>IF($AE64="","",IFERROR(INDEX(Players!$X$2:$X$301,$AE64),""))</f>
        <v/>
      </c>
      <c r="M64" s="14">
        <f>IF($AE64="","",IFERROR(INDEX(Players!$K$2:$K$301,$AE64),""))</f>
        <v/>
      </c>
      <c r="N64" s="14">
        <f>IF($AE64="","",IFERROR(INDEX(Players!$H$2:$H$301,$AE64),""))</f>
        <v/>
      </c>
      <c r="O64" s="15">
        <f>IF($AE64="","",IFERROR(INDEX(Players!$G$2:$G$301,$AE64),""))</f>
        <v/>
      </c>
      <c r="P64" s="14">
        <f>IF($AE64="","",IFERROR(INDEX(Players!$I$2:$I$301,$AE64),""))</f>
        <v/>
      </c>
      <c r="Q64" s="14">
        <f>IF($AE64="","",IFERROR(INDEX(Players!$F$2:$F$301,$AE64),""))</f>
        <v/>
      </c>
      <c r="R64" s="14">
        <f>IF($AE64="","",IFERROR(INDEX(Players!$J$2:$J$301,$AE64),""))</f>
        <v/>
      </c>
      <c r="S64" s="15">
        <f>IF($AE64="","",IFERROR(INDEX(Players!$L$2:$L$301,$AE64),""))</f>
        <v/>
      </c>
      <c r="T64" s="14">
        <f>IF($AE64="","",IFERROR(INDEX(Players!$M$2:$M$301,$AE64),""))</f>
        <v/>
      </c>
      <c r="U64" s="14">
        <f>IF($AE64="","",IFERROR(INDEX(Players!$N$2:$N$301,$AE64),""))</f>
        <v/>
      </c>
      <c r="V64" s="14">
        <f>IF($AE64="","",IFERROR(INDEX(Players!$O$2:$O$301,$AE64),""))</f>
        <v/>
      </c>
      <c r="W64" s="14">
        <f>IF($AE64="","",IFERROR(INDEX(Players!$P$2:$P$301,$AE64),""))</f>
        <v/>
      </c>
      <c r="X64" s="14">
        <f>IF($AE64="","",IFERROR(INDEX(Players!$Q$2:$Q$301,$AE64),""))</f>
        <v/>
      </c>
      <c r="Y64" s="14">
        <f>IF($AE64="","",IFERROR(INDEX(Players!$R$2:$R$301,$AE64),""))</f>
        <v/>
      </c>
      <c r="AE64">
        <f>IFERROR(MATCH(LARGE(Players!$V$2:$V$301,60),Players!$V$2:$V$301,0),"")</f>
        <v/>
      </c>
    </row>
    <row r="65">
      <c r="A65" s="9" t="inlineStr">
        <is>
          <t>6.01</t>
        </is>
      </c>
      <c r="B65" s="18" t="inlineStr">
        <is>
          <t>Team 12</t>
        </is>
      </c>
      <c r="C65" s="19" t="n"/>
      <c r="E65" s="9" t="n">
        <v>61</v>
      </c>
      <c r="F65">
        <f>IF($AE65="","",IFERROR(INDEX(Players!$B$2:$B$301,$AE65),""))</f>
        <v/>
      </c>
      <c r="G65">
        <f>IF($AE65="","",IFERROR(INDEX(Players!$D$2:$D$301,$AE65),""))</f>
        <v/>
      </c>
      <c r="H65">
        <f>IF($AE65="","",IFERROR(INDEX(Players!$C$2:$C$301,$AE65),""))</f>
        <v/>
      </c>
      <c r="I65" s="12">
        <f>IF($AE65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-61+0.5)/3.5))))</f>
        <v/>
      </c>
      <c r="J65" s="12">
        <f>IF($AE65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-61+0.5)/3.5))))</f>
        <v/>
      </c>
      <c r="K65" s="13">
        <f>IF($AE65="","",IFERROR(INDEX(Players!$U$2:$U$301,$AE65),""))</f>
        <v/>
      </c>
      <c r="L65" s="13">
        <f>IF($AE65="","",IFERROR(INDEX(Players!$X$2:$X$301,$AE65),""))</f>
        <v/>
      </c>
      <c r="M65" s="14">
        <f>IF($AE65="","",IFERROR(INDEX(Players!$K$2:$K$301,$AE65),""))</f>
        <v/>
      </c>
      <c r="N65" s="14">
        <f>IF($AE65="","",IFERROR(INDEX(Players!$H$2:$H$301,$AE65),""))</f>
        <v/>
      </c>
      <c r="O65" s="15">
        <f>IF($AE65="","",IFERROR(INDEX(Players!$G$2:$G$301,$AE65),""))</f>
        <v/>
      </c>
      <c r="P65" s="14">
        <f>IF($AE65="","",IFERROR(INDEX(Players!$I$2:$I$301,$AE65),""))</f>
        <v/>
      </c>
      <c r="Q65" s="14">
        <f>IF($AE65="","",IFERROR(INDEX(Players!$F$2:$F$301,$AE65),""))</f>
        <v/>
      </c>
      <c r="R65" s="14">
        <f>IF($AE65="","",IFERROR(INDEX(Players!$J$2:$J$301,$AE65),""))</f>
        <v/>
      </c>
      <c r="S65" s="15">
        <f>IF($AE65="","",IFERROR(INDEX(Players!$L$2:$L$301,$AE65),""))</f>
        <v/>
      </c>
      <c r="T65" s="14">
        <f>IF($AE65="","",IFERROR(INDEX(Players!$M$2:$M$301,$AE65),""))</f>
        <v/>
      </c>
      <c r="U65" s="14">
        <f>IF($AE65="","",IFERROR(INDEX(Players!$N$2:$N$301,$AE65),""))</f>
        <v/>
      </c>
      <c r="V65" s="14">
        <f>IF($AE65="","",IFERROR(INDEX(Players!$O$2:$O$301,$AE65),""))</f>
        <v/>
      </c>
      <c r="W65" s="14">
        <f>IF($AE65="","",IFERROR(INDEX(Players!$P$2:$P$301,$AE65),""))</f>
        <v/>
      </c>
      <c r="X65" s="14">
        <f>IF($AE65="","",IFERROR(INDEX(Players!$Q$2:$Q$301,$AE65),""))</f>
        <v/>
      </c>
      <c r="Y65" s="14">
        <f>IF($AE65="","",IFERROR(INDEX(Players!$R$2:$R$301,$AE65),""))</f>
        <v/>
      </c>
      <c r="AE65">
        <f>IFERROR(MATCH(LARGE(Players!$V$2:$V$301,61),Players!$V$2:$V$301,0),"")</f>
        <v/>
      </c>
    </row>
    <row r="66">
      <c r="A66" s="9" t="inlineStr">
        <is>
          <t>6.02</t>
        </is>
      </c>
      <c r="B66" s="18" t="inlineStr">
        <is>
          <t>Team 11</t>
        </is>
      </c>
      <c r="C66" s="19" t="n"/>
      <c r="E66" s="9" t="n">
        <v>62</v>
      </c>
      <c r="F66">
        <f>IF($AE66="","",IFERROR(INDEX(Players!$B$2:$B$301,$AE66),""))</f>
        <v/>
      </c>
      <c r="G66">
        <f>IF($AE66="","",IFERROR(INDEX(Players!$D$2:$D$301,$AE66),""))</f>
        <v/>
      </c>
      <c r="H66">
        <f>IF($AE66="","",IFERROR(INDEX(Players!$C$2:$C$301,$AE66),""))</f>
        <v/>
      </c>
      <c r="I66" s="12">
        <f>IF($AE66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-62+0.5)/3.5))))</f>
        <v/>
      </c>
      <c r="J66" s="12">
        <f>IF($AE66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-62+0.5)/3.5))))</f>
        <v/>
      </c>
      <c r="K66" s="13">
        <f>IF($AE66="","",IFERROR(INDEX(Players!$U$2:$U$301,$AE66),""))</f>
        <v/>
      </c>
      <c r="L66" s="13">
        <f>IF($AE66="","",IFERROR(INDEX(Players!$X$2:$X$301,$AE66),""))</f>
        <v/>
      </c>
      <c r="M66" s="14">
        <f>IF($AE66="","",IFERROR(INDEX(Players!$K$2:$K$301,$AE66),""))</f>
        <v/>
      </c>
      <c r="N66" s="14">
        <f>IF($AE66="","",IFERROR(INDEX(Players!$H$2:$H$301,$AE66),""))</f>
        <v/>
      </c>
      <c r="O66" s="15">
        <f>IF($AE66="","",IFERROR(INDEX(Players!$G$2:$G$301,$AE66),""))</f>
        <v/>
      </c>
      <c r="P66" s="14">
        <f>IF($AE66="","",IFERROR(INDEX(Players!$I$2:$I$301,$AE66),""))</f>
        <v/>
      </c>
      <c r="Q66" s="14">
        <f>IF($AE66="","",IFERROR(INDEX(Players!$F$2:$F$301,$AE66),""))</f>
        <v/>
      </c>
      <c r="R66" s="14">
        <f>IF($AE66="","",IFERROR(INDEX(Players!$J$2:$J$301,$AE66),""))</f>
        <v/>
      </c>
      <c r="S66" s="15">
        <f>IF($AE66="","",IFERROR(INDEX(Players!$L$2:$L$301,$AE66),""))</f>
        <v/>
      </c>
      <c r="T66" s="14">
        <f>IF($AE66="","",IFERROR(INDEX(Players!$M$2:$M$301,$AE66),""))</f>
        <v/>
      </c>
      <c r="U66" s="14">
        <f>IF($AE66="","",IFERROR(INDEX(Players!$N$2:$N$301,$AE66),""))</f>
        <v/>
      </c>
      <c r="V66" s="14">
        <f>IF($AE66="","",IFERROR(INDEX(Players!$O$2:$O$301,$AE66),""))</f>
        <v/>
      </c>
      <c r="W66" s="14">
        <f>IF($AE66="","",IFERROR(INDEX(Players!$P$2:$P$301,$AE66),""))</f>
        <v/>
      </c>
      <c r="X66" s="14">
        <f>IF($AE66="","",IFERROR(INDEX(Players!$Q$2:$Q$301,$AE66),""))</f>
        <v/>
      </c>
      <c r="Y66" s="14">
        <f>IF($AE66="","",IFERROR(INDEX(Players!$R$2:$R$301,$AE66),""))</f>
        <v/>
      </c>
      <c r="AE66">
        <f>IFERROR(MATCH(LARGE(Players!$V$2:$V$301,62),Players!$V$2:$V$301,0),"")</f>
        <v/>
      </c>
    </row>
    <row r="67">
      <c r="A67" s="9" t="inlineStr">
        <is>
          <t>6.03</t>
        </is>
      </c>
      <c r="B67" s="18" t="inlineStr">
        <is>
          <t>Team 10</t>
        </is>
      </c>
      <c r="C67" s="19" t="n"/>
      <c r="E67" s="9" t="n">
        <v>63</v>
      </c>
      <c r="F67">
        <f>IF($AE67="","",IFERROR(INDEX(Players!$B$2:$B$301,$AE67),""))</f>
        <v/>
      </c>
      <c r="G67">
        <f>IF($AE67="","",IFERROR(INDEX(Players!$D$2:$D$301,$AE67),""))</f>
        <v/>
      </c>
      <c r="H67">
        <f>IF($AE67="","",IFERROR(INDEX(Players!$C$2:$C$301,$AE67),""))</f>
        <v/>
      </c>
      <c r="I67" s="12">
        <f>IF($AE67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-63+0.5)/3.5))))</f>
        <v/>
      </c>
      <c r="J67" s="12">
        <f>IF($AE67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-63+0.5)/3.5))))</f>
        <v/>
      </c>
      <c r="K67" s="13">
        <f>IF($AE67="","",IFERROR(INDEX(Players!$U$2:$U$301,$AE67),""))</f>
        <v/>
      </c>
      <c r="L67" s="13">
        <f>IF($AE67="","",IFERROR(INDEX(Players!$X$2:$X$301,$AE67),""))</f>
        <v/>
      </c>
      <c r="M67" s="14">
        <f>IF($AE67="","",IFERROR(INDEX(Players!$K$2:$K$301,$AE67),""))</f>
        <v/>
      </c>
      <c r="N67" s="14">
        <f>IF($AE67="","",IFERROR(INDEX(Players!$H$2:$H$301,$AE67),""))</f>
        <v/>
      </c>
      <c r="O67" s="15">
        <f>IF($AE67="","",IFERROR(INDEX(Players!$G$2:$G$301,$AE67),""))</f>
        <v/>
      </c>
      <c r="P67" s="14">
        <f>IF($AE67="","",IFERROR(INDEX(Players!$I$2:$I$301,$AE67),""))</f>
        <v/>
      </c>
      <c r="Q67" s="14">
        <f>IF($AE67="","",IFERROR(INDEX(Players!$F$2:$F$301,$AE67),""))</f>
        <v/>
      </c>
      <c r="R67" s="14">
        <f>IF($AE67="","",IFERROR(INDEX(Players!$J$2:$J$301,$AE67),""))</f>
        <v/>
      </c>
      <c r="S67" s="15">
        <f>IF($AE67="","",IFERROR(INDEX(Players!$L$2:$L$301,$AE67),""))</f>
        <v/>
      </c>
      <c r="T67" s="14">
        <f>IF($AE67="","",IFERROR(INDEX(Players!$M$2:$M$301,$AE67),""))</f>
        <v/>
      </c>
      <c r="U67" s="14">
        <f>IF($AE67="","",IFERROR(INDEX(Players!$N$2:$N$301,$AE67),""))</f>
        <v/>
      </c>
      <c r="V67" s="14">
        <f>IF($AE67="","",IFERROR(INDEX(Players!$O$2:$O$301,$AE67),""))</f>
        <v/>
      </c>
      <c r="W67" s="14">
        <f>IF($AE67="","",IFERROR(INDEX(Players!$P$2:$P$301,$AE67),""))</f>
        <v/>
      </c>
      <c r="X67" s="14">
        <f>IF($AE67="","",IFERROR(INDEX(Players!$Q$2:$Q$301,$AE67),""))</f>
        <v/>
      </c>
      <c r="Y67" s="14">
        <f>IF($AE67="","",IFERROR(INDEX(Players!$R$2:$R$301,$AE67),""))</f>
        <v/>
      </c>
      <c r="AE67">
        <f>IFERROR(MATCH(LARGE(Players!$V$2:$V$301,63),Players!$V$2:$V$301,0),"")</f>
        <v/>
      </c>
    </row>
    <row r="68">
      <c r="A68" s="9" t="inlineStr">
        <is>
          <t>6.04</t>
        </is>
      </c>
      <c r="B68" s="18" t="inlineStr">
        <is>
          <t>Team 9</t>
        </is>
      </c>
      <c r="C68" s="19" t="n"/>
      <c r="E68" s="9" t="n">
        <v>64</v>
      </c>
      <c r="F68">
        <f>IF($AE68="","",IFERROR(INDEX(Players!$B$2:$B$301,$AE68),""))</f>
        <v/>
      </c>
      <c r="G68">
        <f>IF($AE68="","",IFERROR(INDEX(Players!$D$2:$D$301,$AE68),""))</f>
        <v/>
      </c>
      <c r="H68">
        <f>IF($AE68="","",IFERROR(INDEX(Players!$C$2:$C$301,$AE68),""))</f>
        <v/>
      </c>
      <c r="I68" s="12">
        <f>IF($AE68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-64+0.5)/3.5))))</f>
        <v/>
      </c>
      <c r="J68" s="12">
        <f>IF($AE68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-64+0.5)/3.5))))</f>
        <v/>
      </c>
      <c r="K68" s="13">
        <f>IF($AE68="","",IFERROR(INDEX(Players!$U$2:$U$301,$AE68),""))</f>
        <v/>
      </c>
      <c r="L68" s="13">
        <f>IF($AE68="","",IFERROR(INDEX(Players!$X$2:$X$301,$AE68),""))</f>
        <v/>
      </c>
      <c r="M68" s="14">
        <f>IF($AE68="","",IFERROR(INDEX(Players!$K$2:$K$301,$AE68),""))</f>
        <v/>
      </c>
      <c r="N68" s="14">
        <f>IF($AE68="","",IFERROR(INDEX(Players!$H$2:$H$301,$AE68),""))</f>
        <v/>
      </c>
      <c r="O68" s="15">
        <f>IF($AE68="","",IFERROR(INDEX(Players!$G$2:$G$301,$AE68),""))</f>
        <v/>
      </c>
      <c r="P68" s="14">
        <f>IF($AE68="","",IFERROR(INDEX(Players!$I$2:$I$301,$AE68),""))</f>
        <v/>
      </c>
      <c r="Q68" s="14">
        <f>IF($AE68="","",IFERROR(INDEX(Players!$F$2:$F$301,$AE68),""))</f>
        <v/>
      </c>
      <c r="R68" s="14">
        <f>IF($AE68="","",IFERROR(INDEX(Players!$J$2:$J$301,$AE68),""))</f>
        <v/>
      </c>
      <c r="S68" s="15">
        <f>IF($AE68="","",IFERROR(INDEX(Players!$L$2:$L$301,$AE68),""))</f>
        <v/>
      </c>
      <c r="T68" s="14">
        <f>IF($AE68="","",IFERROR(INDEX(Players!$M$2:$M$301,$AE68),""))</f>
        <v/>
      </c>
      <c r="U68" s="14">
        <f>IF($AE68="","",IFERROR(INDEX(Players!$N$2:$N$301,$AE68),""))</f>
        <v/>
      </c>
      <c r="V68" s="14">
        <f>IF($AE68="","",IFERROR(INDEX(Players!$O$2:$O$301,$AE68),""))</f>
        <v/>
      </c>
      <c r="W68" s="14">
        <f>IF($AE68="","",IFERROR(INDEX(Players!$P$2:$P$301,$AE68),""))</f>
        <v/>
      </c>
      <c r="X68" s="14">
        <f>IF($AE68="","",IFERROR(INDEX(Players!$Q$2:$Q$301,$AE68),""))</f>
        <v/>
      </c>
      <c r="Y68" s="14">
        <f>IF($AE68="","",IFERROR(INDEX(Players!$R$2:$R$301,$AE68),""))</f>
        <v/>
      </c>
      <c r="AE68">
        <f>IFERROR(MATCH(LARGE(Players!$V$2:$V$301,64),Players!$V$2:$V$301,0),"")</f>
        <v/>
      </c>
    </row>
    <row r="69">
      <c r="A69" s="9" t="inlineStr">
        <is>
          <t>6.05</t>
        </is>
      </c>
      <c r="B69" s="18" t="inlineStr">
        <is>
          <t>Team 8</t>
        </is>
      </c>
      <c r="C69" s="19" t="n"/>
      <c r="E69" s="9" t="n">
        <v>65</v>
      </c>
      <c r="F69">
        <f>IF($AE69="","",IFERROR(INDEX(Players!$B$2:$B$301,$AE69),""))</f>
        <v/>
      </c>
      <c r="G69">
        <f>IF($AE69="","",IFERROR(INDEX(Players!$D$2:$D$301,$AE69),""))</f>
        <v/>
      </c>
      <c r="H69">
        <f>IF($AE69="","",IFERROR(INDEX(Players!$C$2:$C$301,$AE69),""))</f>
        <v/>
      </c>
      <c r="I69" s="12">
        <f>IF($AE69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-65+0.5)/3.5))))</f>
        <v/>
      </c>
      <c r="J69" s="12">
        <f>IF($AE69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-65+0.5)/3.5))))</f>
        <v/>
      </c>
      <c r="K69" s="13">
        <f>IF($AE69="","",IFERROR(INDEX(Players!$U$2:$U$301,$AE69),""))</f>
        <v/>
      </c>
      <c r="L69" s="13">
        <f>IF($AE69="","",IFERROR(INDEX(Players!$X$2:$X$301,$AE69),""))</f>
        <v/>
      </c>
      <c r="M69" s="14">
        <f>IF($AE69="","",IFERROR(INDEX(Players!$K$2:$K$301,$AE69),""))</f>
        <v/>
      </c>
      <c r="N69" s="14">
        <f>IF($AE69="","",IFERROR(INDEX(Players!$H$2:$H$301,$AE69),""))</f>
        <v/>
      </c>
      <c r="O69" s="15">
        <f>IF($AE69="","",IFERROR(INDEX(Players!$G$2:$G$301,$AE69),""))</f>
        <v/>
      </c>
      <c r="P69" s="14">
        <f>IF($AE69="","",IFERROR(INDEX(Players!$I$2:$I$301,$AE69),""))</f>
        <v/>
      </c>
      <c r="Q69" s="14">
        <f>IF($AE69="","",IFERROR(INDEX(Players!$F$2:$F$301,$AE69),""))</f>
        <v/>
      </c>
      <c r="R69" s="14">
        <f>IF($AE69="","",IFERROR(INDEX(Players!$J$2:$J$301,$AE69),""))</f>
        <v/>
      </c>
      <c r="S69" s="15">
        <f>IF($AE69="","",IFERROR(INDEX(Players!$L$2:$L$301,$AE69),""))</f>
        <v/>
      </c>
      <c r="T69" s="14">
        <f>IF($AE69="","",IFERROR(INDEX(Players!$M$2:$M$301,$AE69),""))</f>
        <v/>
      </c>
      <c r="U69" s="14">
        <f>IF($AE69="","",IFERROR(INDEX(Players!$N$2:$N$301,$AE69),""))</f>
        <v/>
      </c>
      <c r="V69" s="14">
        <f>IF($AE69="","",IFERROR(INDEX(Players!$O$2:$O$301,$AE69),""))</f>
        <v/>
      </c>
      <c r="W69" s="14">
        <f>IF($AE69="","",IFERROR(INDEX(Players!$P$2:$P$301,$AE69),""))</f>
        <v/>
      </c>
      <c r="X69" s="14">
        <f>IF($AE69="","",IFERROR(INDEX(Players!$Q$2:$Q$301,$AE69),""))</f>
        <v/>
      </c>
      <c r="Y69" s="14">
        <f>IF($AE69="","",IFERROR(INDEX(Players!$R$2:$R$301,$AE69),""))</f>
        <v/>
      </c>
      <c r="AE69">
        <f>IFERROR(MATCH(LARGE(Players!$V$2:$V$301,65),Players!$V$2:$V$301,0),"")</f>
        <v/>
      </c>
    </row>
    <row r="70">
      <c r="A70" s="9" t="inlineStr">
        <is>
          <t>6.06</t>
        </is>
      </c>
      <c r="B70" s="18" t="inlineStr">
        <is>
          <t>Team 7</t>
        </is>
      </c>
      <c r="C70" s="19" t="n"/>
      <c r="E70" s="9" t="n">
        <v>66</v>
      </c>
      <c r="F70">
        <f>IF($AE70="","",IFERROR(INDEX(Players!$B$2:$B$301,$AE70),""))</f>
        <v/>
      </c>
      <c r="G70">
        <f>IF($AE70="","",IFERROR(INDEX(Players!$D$2:$D$301,$AE70),""))</f>
        <v/>
      </c>
      <c r="H70">
        <f>IF($AE70="","",IFERROR(INDEX(Players!$C$2:$C$301,$AE70),""))</f>
        <v/>
      </c>
      <c r="I70" s="12">
        <f>IF($AE70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-66+0.5)/3.5))))</f>
        <v/>
      </c>
      <c r="J70" s="12">
        <f>IF($AE70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-66+0.5)/3.5))))</f>
        <v/>
      </c>
      <c r="K70" s="13">
        <f>IF($AE70="","",IFERROR(INDEX(Players!$U$2:$U$301,$AE70),""))</f>
        <v/>
      </c>
      <c r="L70" s="13">
        <f>IF($AE70="","",IFERROR(INDEX(Players!$X$2:$X$301,$AE70),""))</f>
        <v/>
      </c>
      <c r="M70" s="14">
        <f>IF($AE70="","",IFERROR(INDEX(Players!$K$2:$K$301,$AE70),""))</f>
        <v/>
      </c>
      <c r="N70" s="14">
        <f>IF($AE70="","",IFERROR(INDEX(Players!$H$2:$H$301,$AE70),""))</f>
        <v/>
      </c>
      <c r="O70" s="15">
        <f>IF($AE70="","",IFERROR(INDEX(Players!$G$2:$G$301,$AE70),""))</f>
        <v/>
      </c>
      <c r="P70" s="14">
        <f>IF($AE70="","",IFERROR(INDEX(Players!$I$2:$I$301,$AE70),""))</f>
        <v/>
      </c>
      <c r="Q70" s="14">
        <f>IF($AE70="","",IFERROR(INDEX(Players!$F$2:$F$301,$AE70),""))</f>
        <v/>
      </c>
      <c r="R70" s="14">
        <f>IF($AE70="","",IFERROR(INDEX(Players!$J$2:$J$301,$AE70),""))</f>
        <v/>
      </c>
      <c r="S70" s="15">
        <f>IF($AE70="","",IFERROR(INDEX(Players!$L$2:$L$301,$AE70),""))</f>
        <v/>
      </c>
      <c r="T70" s="14">
        <f>IF($AE70="","",IFERROR(INDEX(Players!$M$2:$M$301,$AE70),""))</f>
        <v/>
      </c>
      <c r="U70" s="14">
        <f>IF($AE70="","",IFERROR(INDEX(Players!$N$2:$N$301,$AE70),""))</f>
        <v/>
      </c>
      <c r="V70" s="14">
        <f>IF($AE70="","",IFERROR(INDEX(Players!$O$2:$O$301,$AE70),""))</f>
        <v/>
      </c>
      <c r="W70" s="14">
        <f>IF($AE70="","",IFERROR(INDEX(Players!$P$2:$P$301,$AE70),""))</f>
        <v/>
      </c>
      <c r="X70" s="14">
        <f>IF($AE70="","",IFERROR(INDEX(Players!$Q$2:$Q$301,$AE70),""))</f>
        <v/>
      </c>
      <c r="Y70" s="14">
        <f>IF($AE70="","",IFERROR(INDEX(Players!$R$2:$R$301,$AE70),""))</f>
        <v/>
      </c>
      <c r="AE70">
        <f>IFERROR(MATCH(LARGE(Players!$V$2:$V$301,66),Players!$V$2:$V$301,0),"")</f>
        <v/>
      </c>
    </row>
    <row r="71">
      <c r="A71" s="9" t="inlineStr">
        <is>
          <t>6.07</t>
        </is>
      </c>
      <c r="B71" s="18" t="inlineStr">
        <is>
          <t>Team 6</t>
        </is>
      </c>
      <c r="C71" s="19" t="n"/>
      <c r="E71" s="9" t="n">
        <v>67</v>
      </c>
      <c r="F71">
        <f>IF($AE71="","",IFERROR(INDEX(Players!$B$2:$B$301,$AE71),""))</f>
        <v/>
      </c>
      <c r="G71">
        <f>IF($AE71="","",IFERROR(INDEX(Players!$D$2:$D$301,$AE71),""))</f>
        <v/>
      </c>
      <c r="H71">
        <f>IF($AE71="","",IFERROR(INDEX(Players!$C$2:$C$301,$AE71),""))</f>
        <v/>
      </c>
      <c r="I71" s="12">
        <f>IF($AE71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-67+0.5)/3.5))))</f>
        <v/>
      </c>
      <c r="J71" s="12">
        <f>IF($AE71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-67+0.5)/3.5))))</f>
        <v/>
      </c>
      <c r="K71" s="13">
        <f>IF($AE71="","",IFERROR(INDEX(Players!$U$2:$U$301,$AE71),""))</f>
        <v/>
      </c>
      <c r="L71" s="13">
        <f>IF($AE71="","",IFERROR(INDEX(Players!$X$2:$X$301,$AE71),""))</f>
        <v/>
      </c>
      <c r="M71" s="14">
        <f>IF($AE71="","",IFERROR(INDEX(Players!$K$2:$K$301,$AE71),""))</f>
        <v/>
      </c>
      <c r="N71" s="14">
        <f>IF($AE71="","",IFERROR(INDEX(Players!$H$2:$H$301,$AE71),""))</f>
        <v/>
      </c>
      <c r="O71" s="15">
        <f>IF($AE71="","",IFERROR(INDEX(Players!$G$2:$G$301,$AE71),""))</f>
        <v/>
      </c>
      <c r="P71" s="14">
        <f>IF($AE71="","",IFERROR(INDEX(Players!$I$2:$I$301,$AE71),""))</f>
        <v/>
      </c>
      <c r="Q71" s="14">
        <f>IF($AE71="","",IFERROR(INDEX(Players!$F$2:$F$301,$AE71),""))</f>
        <v/>
      </c>
      <c r="R71" s="14">
        <f>IF($AE71="","",IFERROR(INDEX(Players!$J$2:$J$301,$AE71),""))</f>
        <v/>
      </c>
      <c r="S71" s="15">
        <f>IF($AE71="","",IFERROR(INDEX(Players!$L$2:$L$301,$AE71),""))</f>
        <v/>
      </c>
      <c r="T71" s="14">
        <f>IF($AE71="","",IFERROR(INDEX(Players!$M$2:$M$301,$AE71),""))</f>
        <v/>
      </c>
      <c r="U71" s="14">
        <f>IF($AE71="","",IFERROR(INDEX(Players!$N$2:$N$301,$AE71),""))</f>
        <v/>
      </c>
      <c r="V71" s="14">
        <f>IF($AE71="","",IFERROR(INDEX(Players!$O$2:$O$301,$AE71),""))</f>
        <v/>
      </c>
      <c r="W71" s="14">
        <f>IF($AE71="","",IFERROR(INDEX(Players!$P$2:$P$301,$AE71),""))</f>
        <v/>
      </c>
      <c r="X71" s="14">
        <f>IF($AE71="","",IFERROR(INDEX(Players!$Q$2:$Q$301,$AE71),""))</f>
        <v/>
      </c>
      <c r="Y71" s="14">
        <f>IF($AE71="","",IFERROR(INDEX(Players!$R$2:$R$301,$AE71),""))</f>
        <v/>
      </c>
      <c r="AE71">
        <f>IFERROR(MATCH(LARGE(Players!$V$2:$V$301,67),Players!$V$2:$V$301,0),"")</f>
        <v/>
      </c>
    </row>
    <row r="72">
      <c r="A72" s="9" t="inlineStr">
        <is>
          <t>6.08</t>
        </is>
      </c>
      <c r="B72" s="18" t="inlineStr">
        <is>
          <t>Team 5</t>
        </is>
      </c>
      <c r="C72" s="19" t="n"/>
      <c r="E72" s="9" t="n">
        <v>68</v>
      </c>
      <c r="F72">
        <f>IF($AE72="","",IFERROR(INDEX(Players!$B$2:$B$301,$AE72),""))</f>
        <v/>
      </c>
      <c r="G72">
        <f>IF($AE72="","",IFERROR(INDEX(Players!$D$2:$D$301,$AE72),""))</f>
        <v/>
      </c>
      <c r="H72">
        <f>IF($AE72="","",IFERROR(INDEX(Players!$C$2:$C$301,$AE72),""))</f>
        <v/>
      </c>
      <c r="I72" s="12">
        <f>IF($AE72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-68+0.5)/3.5))))</f>
        <v/>
      </c>
      <c r="J72" s="12">
        <f>IF($AE72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-68+0.5)/3.5))))</f>
        <v/>
      </c>
      <c r="K72" s="13">
        <f>IF($AE72="","",IFERROR(INDEX(Players!$U$2:$U$301,$AE72),""))</f>
        <v/>
      </c>
      <c r="L72" s="13">
        <f>IF($AE72="","",IFERROR(INDEX(Players!$X$2:$X$301,$AE72),""))</f>
        <v/>
      </c>
      <c r="M72" s="14">
        <f>IF($AE72="","",IFERROR(INDEX(Players!$K$2:$K$301,$AE72),""))</f>
        <v/>
      </c>
      <c r="N72" s="14">
        <f>IF($AE72="","",IFERROR(INDEX(Players!$H$2:$H$301,$AE72),""))</f>
        <v/>
      </c>
      <c r="O72" s="15">
        <f>IF($AE72="","",IFERROR(INDEX(Players!$G$2:$G$301,$AE72),""))</f>
        <v/>
      </c>
      <c r="P72" s="14">
        <f>IF($AE72="","",IFERROR(INDEX(Players!$I$2:$I$301,$AE72),""))</f>
        <v/>
      </c>
      <c r="Q72" s="14">
        <f>IF($AE72="","",IFERROR(INDEX(Players!$F$2:$F$301,$AE72),""))</f>
        <v/>
      </c>
      <c r="R72" s="14">
        <f>IF($AE72="","",IFERROR(INDEX(Players!$J$2:$J$301,$AE72),""))</f>
        <v/>
      </c>
      <c r="S72" s="15">
        <f>IF($AE72="","",IFERROR(INDEX(Players!$L$2:$L$301,$AE72),""))</f>
        <v/>
      </c>
      <c r="T72" s="14">
        <f>IF($AE72="","",IFERROR(INDEX(Players!$M$2:$M$301,$AE72),""))</f>
        <v/>
      </c>
      <c r="U72" s="14">
        <f>IF($AE72="","",IFERROR(INDEX(Players!$N$2:$N$301,$AE72),""))</f>
        <v/>
      </c>
      <c r="V72" s="14">
        <f>IF($AE72="","",IFERROR(INDEX(Players!$O$2:$O$301,$AE72),""))</f>
        <v/>
      </c>
      <c r="W72" s="14">
        <f>IF($AE72="","",IFERROR(INDEX(Players!$P$2:$P$301,$AE72),""))</f>
        <v/>
      </c>
      <c r="X72" s="14">
        <f>IF($AE72="","",IFERROR(INDEX(Players!$Q$2:$Q$301,$AE72),""))</f>
        <v/>
      </c>
      <c r="Y72" s="14">
        <f>IF($AE72="","",IFERROR(INDEX(Players!$R$2:$R$301,$AE72),""))</f>
        <v/>
      </c>
      <c r="AE72">
        <f>IFERROR(MATCH(LARGE(Players!$V$2:$V$301,68),Players!$V$2:$V$301,0),"")</f>
        <v/>
      </c>
    </row>
    <row r="73">
      <c r="A73" s="9" t="inlineStr">
        <is>
          <t>6.09</t>
        </is>
      </c>
      <c r="B73" s="18" t="inlineStr">
        <is>
          <t>Team 4</t>
        </is>
      </c>
      <c r="C73" s="19" t="n"/>
      <c r="E73" s="9" t="n">
        <v>69</v>
      </c>
      <c r="F73">
        <f>IF($AE73="","",IFERROR(INDEX(Players!$B$2:$B$301,$AE73),""))</f>
        <v/>
      </c>
      <c r="G73">
        <f>IF($AE73="","",IFERROR(INDEX(Players!$D$2:$D$301,$AE73),""))</f>
        <v/>
      </c>
      <c r="H73">
        <f>IF($AE73="","",IFERROR(INDEX(Players!$C$2:$C$301,$AE73),""))</f>
        <v/>
      </c>
      <c r="I73" s="12">
        <f>IF($AE73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-69+0.5)/3.5))))</f>
        <v/>
      </c>
      <c r="J73" s="12">
        <f>IF($AE73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-69+0.5)/3.5))))</f>
        <v/>
      </c>
      <c r="K73" s="13">
        <f>IF($AE73="","",IFERROR(INDEX(Players!$U$2:$U$301,$AE73),""))</f>
        <v/>
      </c>
      <c r="L73" s="13">
        <f>IF($AE73="","",IFERROR(INDEX(Players!$X$2:$X$301,$AE73),""))</f>
        <v/>
      </c>
      <c r="M73" s="14">
        <f>IF($AE73="","",IFERROR(INDEX(Players!$K$2:$K$301,$AE73),""))</f>
        <v/>
      </c>
      <c r="N73" s="14">
        <f>IF($AE73="","",IFERROR(INDEX(Players!$H$2:$H$301,$AE73),""))</f>
        <v/>
      </c>
      <c r="O73" s="15">
        <f>IF($AE73="","",IFERROR(INDEX(Players!$G$2:$G$301,$AE73),""))</f>
        <v/>
      </c>
      <c r="P73" s="14">
        <f>IF($AE73="","",IFERROR(INDEX(Players!$I$2:$I$301,$AE73),""))</f>
        <v/>
      </c>
      <c r="Q73" s="14">
        <f>IF($AE73="","",IFERROR(INDEX(Players!$F$2:$F$301,$AE73),""))</f>
        <v/>
      </c>
      <c r="R73" s="14">
        <f>IF($AE73="","",IFERROR(INDEX(Players!$J$2:$J$301,$AE73),""))</f>
        <v/>
      </c>
      <c r="S73" s="15">
        <f>IF($AE73="","",IFERROR(INDEX(Players!$L$2:$L$301,$AE73),""))</f>
        <v/>
      </c>
      <c r="T73" s="14">
        <f>IF($AE73="","",IFERROR(INDEX(Players!$M$2:$M$301,$AE73),""))</f>
        <v/>
      </c>
      <c r="U73" s="14">
        <f>IF($AE73="","",IFERROR(INDEX(Players!$N$2:$N$301,$AE73),""))</f>
        <v/>
      </c>
      <c r="V73" s="14">
        <f>IF($AE73="","",IFERROR(INDEX(Players!$O$2:$O$301,$AE73),""))</f>
        <v/>
      </c>
      <c r="W73" s="14">
        <f>IF($AE73="","",IFERROR(INDEX(Players!$P$2:$P$301,$AE73),""))</f>
        <v/>
      </c>
      <c r="X73" s="14">
        <f>IF($AE73="","",IFERROR(INDEX(Players!$Q$2:$Q$301,$AE73),""))</f>
        <v/>
      </c>
      <c r="Y73" s="14">
        <f>IF($AE73="","",IFERROR(INDEX(Players!$R$2:$R$301,$AE73),""))</f>
        <v/>
      </c>
      <c r="AE73">
        <f>IFERROR(MATCH(LARGE(Players!$V$2:$V$301,69),Players!$V$2:$V$301,0),"")</f>
        <v/>
      </c>
    </row>
    <row r="74">
      <c r="A74" s="9" t="inlineStr">
        <is>
          <t>6.10</t>
        </is>
      </c>
      <c r="B74" s="18" t="inlineStr">
        <is>
          <t>Team 3</t>
        </is>
      </c>
      <c r="C74" s="19" t="n"/>
      <c r="E74" s="9" t="n">
        <v>70</v>
      </c>
      <c r="F74">
        <f>IF($AE74="","",IFERROR(INDEX(Players!$B$2:$B$301,$AE74),""))</f>
        <v/>
      </c>
      <c r="G74">
        <f>IF($AE74="","",IFERROR(INDEX(Players!$D$2:$D$301,$AE74),""))</f>
        <v/>
      </c>
      <c r="H74">
        <f>IF($AE74="","",IFERROR(INDEX(Players!$C$2:$C$301,$AE74),""))</f>
        <v/>
      </c>
      <c r="I74" s="12">
        <f>IF($AE74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-70+0.5)/3.5))))</f>
        <v/>
      </c>
      <c r="J74" s="12">
        <f>IF($AE74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-70+0.5)/3.5))))</f>
        <v/>
      </c>
      <c r="K74" s="13">
        <f>IF($AE74="","",IFERROR(INDEX(Players!$U$2:$U$301,$AE74),""))</f>
        <v/>
      </c>
      <c r="L74" s="13">
        <f>IF($AE74="","",IFERROR(INDEX(Players!$X$2:$X$301,$AE74),""))</f>
        <v/>
      </c>
      <c r="M74" s="14">
        <f>IF($AE74="","",IFERROR(INDEX(Players!$K$2:$K$301,$AE74),""))</f>
        <v/>
      </c>
      <c r="N74" s="14">
        <f>IF($AE74="","",IFERROR(INDEX(Players!$H$2:$H$301,$AE74),""))</f>
        <v/>
      </c>
      <c r="O74" s="15">
        <f>IF($AE74="","",IFERROR(INDEX(Players!$G$2:$G$301,$AE74),""))</f>
        <v/>
      </c>
      <c r="P74" s="14">
        <f>IF($AE74="","",IFERROR(INDEX(Players!$I$2:$I$301,$AE74),""))</f>
        <v/>
      </c>
      <c r="Q74" s="14">
        <f>IF($AE74="","",IFERROR(INDEX(Players!$F$2:$F$301,$AE74),""))</f>
        <v/>
      </c>
      <c r="R74" s="14">
        <f>IF($AE74="","",IFERROR(INDEX(Players!$J$2:$J$301,$AE74),""))</f>
        <v/>
      </c>
      <c r="S74" s="15">
        <f>IF($AE74="","",IFERROR(INDEX(Players!$L$2:$L$301,$AE74),""))</f>
        <v/>
      </c>
      <c r="T74" s="14">
        <f>IF($AE74="","",IFERROR(INDEX(Players!$M$2:$M$301,$AE74),""))</f>
        <v/>
      </c>
      <c r="U74" s="14">
        <f>IF($AE74="","",IFERROR(INDEX(Players!$N$2:$N$301,$AE74),""))</f>
        <v/>
      </c>
      <c r="V74" s="14">
        <f>IF($AE74="","",IFERROR(INDEX(Players!$O$2:$O$301,$AE74),""))</f>
        <v/>
      </c>
      <c r="W74" s="14">
        <f>IF($AE74="","",IFERROR(INDEX(Players!$P$2:$P$301,$AE74),""))</f>
        <v/>
      </c>
      <c r="X74" s="14">
        <f>IF($AE74="","",IFERROR(INDEX(Players!$Q$2:$Q$301,$AE74),""))</f>
        <v/>
      </c>
      <c r="Y74" s="14">
        <f>IF($AE74="","",IFERROR(INDEX(Players!$R$2:$R$301,$AE74),""))</f>
        <v/>
      </c>
      <c r="AE74">
        <f>IFERROR(MATCH(LARGE(Players!$V$2:$V$301,70),Players!$V$2:$V$301,0),"")</f>
        <v/>
      </c>
    </row>
    <row r="75">
      <c r="A75" s="9" t="inlineStr">
        <is>
          <t>6.11</t>
        </is>
      </c>
      <c r="B75" s="18" t="inlineStr">
        <is>
          <t>Team 2</t>
        </is>
      </c>
      <c r="C75" s="19" t="n"/>
      <c r="E75" s="9" t="n">
        <v>71</v>
      </c>
      <c r="F75">
        <f>IF($AE75="","",IFERROR(INDEX(Players!$B$2:$B$301,$AE75),""))</f>
        <v/>
      </c>
      <c r="G75">
        <f>IF($AE75="","",IFERROR(INDEX(Players!$D$2:$D$301,$AE75),""))</f>
        <v/>
      </c>
      <c r="H75">
        <f>IF($AE75="","",IFERROR(INDEX(Players!$C$2:$C$301,$AE75),""))</f>
        <v/>
      </c>
      <c r="I75" s="12">
        <f>IF($AE75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-71+0.5)/3.5))))</f>
        <v/>
      </c>
      <c r="J75" s="12">
        <f>IF($AE75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-71+0.5)/3.5))))</f>
        <v/>
      </c>
      <c r="K75" s="13">
        <f>IF($AE75="","",IFERROR(INDEX(Players!$U$2:$U$301,$AE75),""))</f>
        <v/>
      </c>
      <c r="L75" s="13">
        <f>IF($AE75="","",IFERROR(INDEX(Players!$X$2:$X$301,$AE75),""))</f>
        <v/>
      </c>
      <c r="M75" s="14">
        <f>IF($AE75="","",IFERROR(INDEX(Players!$K$2:$K$301,$AE75),""))</f>
        <v/>
      </c>
      <c r="N75" s="14">
        <f>IF($AE75="","",IFERROR(INDEX(Players!$H$2:$H$301,$AE75),""))</f>
        <v/>
      </c>
      <c r="O75" s="15">
        <f>IF($AE75="","",IFERROR(INDEX(Players!$G$2:$G$301,$AE75),""))</f>
        <v/>
      </c>
      <c r="P75" s="14">
        <f>IF($AE75="","",IFERROR(INDEX(Players!$I$2:$I$301,$AE75),""))</f>
        <v/>
      </c>
      <c r="Q75" s="14">
        <f>IF($AE75="","",IFERROR(INDEX(Players!$F$2:$F$301,$AE75),""))</f>
        <v/>
      </c>
      <c r="R75" s="14">
        <f>IF($AE75="","",IFERROR(INDEX(Players!$J$2:$J$301,$AE75),""))</f>
        <v/>
      </c>
      <c r="S75" s="15">
        <f>IF($AE75="","",IFERROR(INDEX(Players!$L$2:$L$301,$AE75),""))</f>
        <v/>
      </c>
      <c r="T75" s="14">
        <f>IF($AE75="","",IFERROR(INDEX(Players!$M$2:$M$301,$AE75),""))</f>
        <v/>
      </c>
      <c r="U75" s="14">
        <f>IF($AE75="","",IFERROR(INDEX(Players!$N$2:$N$301,$AE75),""))</f>
        <v/>
      </c>
      <c r="V75" s="14">
        <f>IF($AE75="","",IFERROR(INDEX(Players!$O$2:$O$301,$AE75),""))</f>
        <v/>
      </c>
      <c r="W75" s="14">
        <f>IF($AE75="","",IFERROR(INDEX(Players!$P$2:$P$301,$AE75),""))</f>
        <v/>
      </c>
      <c r="X75" s="14">
        <f>IF($AE75="","",IFERROR(INDEX(Players!$Q$2:$Q$301,$AE75),""))</f>
        <v/>
      </c>
      <c r="Y75" s="14">
        <f>IF($AE75="","",IFERROR(INDEX(Players!$R$2:$R$301,$AE75),""))</f>
        <v/>
      </c>
      <c r="AE75">
        <f>IFERROR(MATCH(LARGE(Players!$V$2:$V$301,71),Players!$V$2:$V$301,0),"")</f>
        <v/>
      </c>
    </row>
    <row r="76">
      <c r="A76" s="9" t="inlineStr">
        <is>
          <t>6.12</t>
        </is>
      </c>
      <c r="B76" s="10" t="inlineStr">
        <is>
          <t>Team 1</t>
        </is>
      </c>
      <c r="C76" s="11" t="n"/>
      <c r="E76" s="9" t="n">
        <v>72</v>
      </c>
      <c r="F76">
        <f>IF($AE76="","",IFERROR(INDEX(Players!$B$2:$B$301,$AE76),""))</f>
        <v/>
      </c>
      <c r="G76">
        <f>IF($AE76="","",IFERROR(INDEX(Players!$D$2:$D$301,$AE76),""))</f>
        <v/>
      </c>
      <c r="H76">
        <f>IF($AE76="","",IFERROR(INDEX(Players!$C$2:$C$301,$AE76),""))</f>
        <v/>
      </c>
      <c r="I76" s="12">
        <f>IF($AE76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-72+0.5)/3.5))))</f>
        <v/>
      </c>
      <c r="J76" s="12">
        <f>IF($AE76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-72+0.5)/3.5))))</f>
        <v/>
      </c>
      <c r="K76" s="13">
        <f>IF($AE76="","",IFERROR(INDEX(Players!$U$2:$U$301,$AE76),""))</f>
        <v/>
      </c>
      <c r="L76" s="13">
        <f>IF($AE76="","",IFERROR(INDEX(Players!$X$2:$X$301,$AE76),""))</f>
        <v/>
      </c>
      <c r="M76" s="14">
        <f>IF($AE76="","",IFERROR(INDEX(Players!$K$2:$K$301,$AE76),""))</f>
        <v/>
      </c>
      <c r="N76" s="14">
        <f>IF($AE76="","",IFERROR(INDEX(Players!$H$2:$H$301,$AE76),""))</f>
        <v/>
      </c>
      <c r="O76" s="15">
        <f>IF($AE76="","",IFERROR(INDEX(Players!$G$2:$G$301,$AE76),""))</f>
        <v/>
      </c>
      <c r="P76" s="14">
        <f>IF($AE76="","",IFERROR(INDEX(Players!$I$2:$I$301,$AE76),""))</f>
        <v/>
      </c>
      <c r="Q76" s="14">
        <f>IF($AE76="","",IFERROR(INDEX(Players!$F$2:$F$301,$AE76),""))</f>
        <v/>
      </c>
      <c r="R76" s="14">
        <f>IF($AE76="","",IFERROR(INDEX(Players!$J$2:$J$301,$AE76),""))</f>
        <v/>
      </c>
      <c r="S76" s="15">
        <f>IF($AE76="","",IFERROR(INDEX(Players!$L$2:$L$301,$AE76),""))</f>
        <v/>
      </c>
      <c r="T76" s="14">
        <f>IF($AE76="","",IFERROR(INDEX(Players!$M$2:$M$301,$AE76),""))</f>
        <v/>
      </c>
      <c r="U76" s="14">
        <f>IF($AE76="","",IFERROR(INDEX(Players!$N$2:$N$301,$AE76),""))</f>
        <v/>
      </c>
      <c r="V76" s="14">
        <f>IF($AE76="","",IFERROR(INDEX(Players!$O$2:$O$301,$AE76),""))</f>
        <v/>
      </c>
      <c r="W76" s="14">
        <f>IF($AE76="","",IFERROR(INDEX(Players!$P$2:$P$301,$AE76),""))</f>
        <v/>
      </c>
      <c r="X76" s="14">
        <f>IF($AE76="","",IFERROR(INDEX(Players!$Q$2:$Q$301,$AE76),""))</f>
        <v/>
      </c>
      <c r="Y76" s="14">
        <f>IF($AE76="","",IFERROR(INDEX(Players!$R$2:$R$301,$AE76),""))</f>
        <v/>
      </c>
      <c r="AE76">
        <f>IFERROR(MATCH(LARGE(Players!$V$2:$V$301,72),Players!$V$2:$V$301,0),"")</f>
        <v/>
      </c>
    </row>
    <row r="77">
      <c r="A77" s="9" t="inlineStr">
        <is>
          <t>7.01</t>
        </is>
      </c>
      <c r="B77" s="10" t="inlineStr">
        <is>
          <t>Team 1</t>
        </is>
      </c>
      <c r="C77" s="11" t="n"/>
      <c r="E77" s="9" t="n">
        <v>73</v>
      </c>
      <c r="F77">
        <f>IF($AE77="","",IFERROR(INDEX(Players!$B$2:$B$301,$AE77),""))</f>
        <v/>
      </c>
      <c r="G77">
        <f>IF($AE77="","",IFERROR(INDEX(Players!$D$2:$D$301,$AE77),""))</f>
        <v/>
      </c>
      <c r="H77">
        <f>IF($AE77="","",IFERROR(INDEX(Players!$C$2:$C$301,$AE77),""))</f>
        <v/>
      </c>
      <c r="I77" s="12">
        <f>IF($AE77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-73+0.5)/3.5))))</f>
        <v/>
      </c>
      <c r="J77" s="12">
        <f>IF($AE77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-73+0.5)/3.5))))</f>
        <v/>
      </c>
      <c r="K77" s="13">
        <f>IF($AE77="","",IFERROR(INDEX(Players!$U$2:$U$301,$AE77),""))</f>
        <v/>
      </c>
      <c r="L77" s="13">
        <f>IF($AE77="","",IFERROR(INDEX(Players!$X$2:$X$301,$AE77),""))</f>
        <v/>
      </c>
      <c r="M77" s="14">
        <f>IF($AE77="","",IFERROR(INDEX(Players!$K$2:$K$301,$AE77),""))</f>
        <v/>
      </c>
      <c r="N77" s="14">
        <f>IF($AE77="","",IFERROR(INDEX(Players!$H$2:$H$301,$AE77),""))</f>
        <v/>
      </c>
      <c r="O77" s="15">
        <f>IF($AE77="","",IFERROR(INDEX(Players!$G$2:$G$301,$AE77),""))</f>
        <v/>
      </c>
      <c r="P77" s="14">
        <f>IF($AE77="","",IFERROR(INDEX(Players!$I$2:$I$301,$AE77),""))</f>
        <v/>
      </c>
      <c r="Q77" s="14">
        <f>IF($AE77="","",IFERROR(INDEX(Players!$F$2:$F$301,$AE77),""))</f>
        <v/>
      </c>
      <c r="R77" s="14">
        <f>IF($AE77="","",IFERROR(INDEX(Players!$J$2:$J$301,$AE77),""))</f>
        <v/>
      </c>
      <c r="S77" s="15">
        <f>IF($AE77="","",IFERROR(INDEX(Players!$L$2:$L$301,$AE77),""))</f>
        <v/>
      </c>
      <c r="T77" s="14">
        <f>IF($AE77="","",IFERROR(INDEX(Players!$M$2:$M$301,$AE77),""))</f>
        <v/>
      </c>
      <c r="U77" s="14">
        <f>IF($AE77="","",IFERROR(INDEX(Players!$N$2:$N$301,$AE77),""))</f>
        <v/>
      </c>
      <c r="V77" s="14">
        <f>IF($AE77="","",IFERROR(INDEX(Players!$O$2:$O$301,$AE77),""))</f>
        <v/>
      </c>
      <c r="W77" s="14">
        <f>IF($AE77="","",IFERROR(INDEX(Players!$P$2:$P$301,$AE77),""))</f>
        <v/>
      </c>
      <c r="X77" s="14">
        <f>IF($AE77="","",IFERROR(INDEX(Players!$Q$2:$Q$301,$AE77),""))</f>
        <v/>
      </c>
      <c r="Y77" s="14">
        <f>IF($AE77="","",IFERROR(INDEX(Players!$R$2:$R$301,$AE77),""))</f>
        <v/>
      </c>
      <c r="AE77">
        <f>IFERROR(MATCH(LARGE(Players!$V$2:$V$301,73),Players!$V$2:$V$301,0),"")</f>
        <v/>
      </c>
    </row>
    <row r="78">
      <c r="A78" s="9" t="inlineStr">
        <is>
          <t>7.02</t>
        </is>
      </c>
      <c r="B78" s="18" t="inlineStr">
        <is>
          <t>Team 2</t>
        </is>
      </c>
      <c r="C78" s="19" t="n"/>
      <c r="E78" s="9" t="n">
        <v>74</v>
      </c>
      <c r="F78">
        <f>IF($AE78="","",IFERROR(INDEX(Players!$B$2:$B$301,$AE78),""))</f>
        <v/>
      </c>
      <c r="G78">
        <f>IF($AE78="","",IFERROR(INDEX(Players!$D$2:$D$301,$AE78),""))</f>
        <v/>
      </c>
      <c r="H78">
        <f>IF($AE78="","",IFERROR(INDEX(Players!$C$2:$C$301,$AE78),""))</f>
        <v/>
      </c>
      <c r="I78" s="12">
        <f>IF($AE78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-74+0.5)/3.5))))</f>
        <v/>
      </c>
      <c r="J78" s="12">
        <f>IF($AE78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-74+0.5)/3.5))))</f>
        <v/>
      </c>
      <c r="K78" s="13">
        <f>IF($AE78="","",IFERROR(INDEX(Players!$U$2:$U$301,$AE78),""))</f>
        <v/>
      </c>
      <c r="L78" s="13">
        <f>IF($AE78="","",IFERROR(INDEX(Players!$X$2:$X$301,$AE78),""))</f>
        <v/>
      </c>
      <c r="M78" s="14">
        <f>IF($AE78="","",IFERROR(INDEX(Players!$K$2:$K$301,$AE78),""))</f>
        <v/>
      </c>
      <c r="N78" s="14">
        <f>IF($AE78="","",IFERROR(INDEX(Players!$H$2:$H$301,$AE78),""))</f>
        <v/>
      </c>
      <c r="O78" s="15">
        <f>IF($AE78="","",IFERROR(INDEX(Players!$G$2:$G$301,$AE78),""))</f>
        <v/>
      </c>
      <c r="P78" s="14">
        <f>IF($AE78="","",IFERROR(INDEX(Players!$I$2:$I$301,$AE78),""))</f>
        <v/>
      </c>
      <c r="Q78" s="14">
        <f>IF($AE78="","",IFERROR(INDEX(Players!$F$2:$F$301,$AE78),""))</f>
        <v/>
      </c>
      <c r="R78" s="14">
        <f>IF($AE78="","",IFERROR(INDEX(Players!$J$2:$J$301,$AE78),""))</f>
        <v/>
      </c>
      <c r="S78" s="15">
        <f>IF($AE78="","",IFERROR(INDEX(Players!$L$2:$L$301,$AE78),""))</f>
        <v/>
      </c>
      <c r="T78" s="14">
        <f>IF($AE78="","",IFERROR(INDEX(Players!$M$2:$M$301,$AE78),""))</f>
        <v/>
      </c>
      <c r="U78" s="14">
        <f>IF($AE78="","",IFERROR(INDEX(Players!$N$2:$N$301,$AE78),""))</f>
        <v/>
      </c>
      <c r="V78" s="14">
        <f>IF($AE78="","",IFERROR(INDEX(Players!$O$2:$O$301,$AE78),""))</f>
        <v/>
      </c>
      <c r="W78" s="14">
        <f>IF($AE78="","",IFERROR(INDEX(Players!$P$2:$P$301,$AE78),""))</f>
        <v/>
      </c>
      <c r="X78" s="14">
        <f>IF($AE78="","",IFERROR(INDEX(Players!$Q$2:$Q$301,$AE78),""))</f>
        <v/>
      </c>
      <c r="Y78" s="14">
        <f>IF($AE78="","",IFERROR(INDEX(Players!$R$2:$R$301,$AE78),""))</f>
        <v/>
      </c>
      <c r="AE78">
        <f>IFERROR(MATCH(LARGE(Players!$V$2:$V$301,74),Players!$V$2:$V$301,0),"")</f>
        <v/>
      </c>
    </row>
    <row r="79">
      <c r="A79" s="9" t="inlineStr">
        <is>
          <t>7.03</t>
        </is>
      </c>
      <c r="B79" s="18" t="inlineStr">
        <is>
          <t>Team 3</t>
        </is>
      </c>
      <c r="C79" s="19" t="n"/>
      <c r="E79" s="9" t="n">
        <v>75</v>
      </c>
      <c r="F79">
        <f>IF($AE79="","",IFERROR(INDEX(Players!$B$2:$B$301,$AE79),""))</f>
        <v/>
      </c>
      <c r="G79">
        <f>IF($AE79="","",IFERROR(INDEX(Players!$D$2:$D$301,$AE79),""))</f>
        <v/>
      </c>
      <c r="H79">
        <f>IF($AE79="","",IFERROR(INDEX(Players!$C$2:$C$301,$AE79),""))</f>
        <v/>
      </c>
      <c r="I79" s="12">
        <f>IF($AE79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-75+0.5)/3.5))))</f>
        <v/>
      </c>
      <c r="J79" s="12">
        <f>IF($AE79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-75+0.5)/3.5))))</f>
        <v/>
      </c>
      <c r="K79" s="13">
        <f>IF($AE79="","",IFERROR(INDEX(Players!$U$2:$U$301,$AE79),""))</f>
        <v/>
      </c>
      <c r="L79" s="13">
        <f>IF($AE79="","",IFERROR(INDEX(Players!$X$2:$X$301,$AE79),""))</f>
        <v/>
      </c>
      <c r="M79" s="14">
        <f>IF($AE79="","",IFERROR(INDEX(Players!$K$2:$K$301,$AE79),""))</f>
        <v/>
      </c>
      <c r="N79" s="14">
        <f>IF($AE79="","",IFERROR(INDEX(Players!$H$2:$H$301,$AE79),""))</f>
        <v/>
      </c>
      <c r="O79" s="15">
        <f>IF($AE79="","",IFERROR(INDEX(Players!$G$2:$G$301,$AE79),""))</f>
        <v/>
      </c>
      <c r="P79" s="14">
        <f>IF($AE79="","",IFERROR(INDEX(Players!$I$2:$I$301,$AE79),""))</f>
        <v/>
      </c>
      <c r="Q79" s="14">
        <f>IF($AE79="","",IFERROR(INDEX(Players!$F$2:$F$301,$AE79),""))</f>
        <v/>
      </c>
      <c r="R79" s="14">
        <f>IF($AE79="","",IFERROR(INDEX(Players!$J$2:$J$301,$AE79),""))</f>
        <v/>
      </c>
      <c r="S79" s="15">
        <f>IF($AE79="","",IFERROR(INDEX(Players!$L$2:$L$301,$AE79),""))</f>
        <v/>
      </c>
      <c r="T79" s="14">
        <f>IF($AE79="","",IFERROR(INDEX(Players!$M$2:$M$301,$AE79),""))</f>
        <v/>
      </c>
      <c r="U79" s="14">
        <f>IF($AE79="","",IFERROR(INDEX(Players!$N$2:$N$301,$AE79),""))</f>
        <v/>
      </c>
      <c r="V79" s="14">
        <f>IF($AE79="","",IFERROR(INDEX(Players!$O$2:$O$301,$AE79),""))</f>
        <v/>
      </c>
      <c r="W79" s="14">
        <f>IF($AE79="","",IFERROR(INDEX(Players!$P$2:$P$301,$AE79),""))</f>
        <v/>
      </c>
      <c r="X79" s="14">
        <f>IF($AE79="","",IFERROR(INDEX(Players!$Q$2:$Q$301,$AE79),""))</f>
        <v/>
      </c>
      <c r="Y79" s="14">
        <f>IF($AE79="","",IFERROR(INDEX(Players!$R$2:$R$301,$AE79),""))</f>
        <v/>
      </c>
      <c r="AE79">
        <f>IFERROR(MATCH(LARGE(Players!$V$2:$V$301,75),Players!$V$2:$V$301,0),"")</f>
        <v/>
      </c>
    </row>
    <row r="80">
      <c r="A80" s="9" t="inlineStr">
        <is>
          <t>7.04</t>
        </is>
      </c>
      <c r="B80" s="18" t="inlineStr">
        <is>
          <t>Team 4</t>
        </is>
      </c>
      <c r="C80" s="19" t="n"/>
      <c r="E80" s="9" t="n">
        <v>76</v>
      </c>
      <c r="F80">
        <f>IF($AE80="","",IFERROR(INDEX(Players!$B$2:$B$301,$AE80),""))</f>
        <v/>
      </c>
      <c r="G80">
        <f>IF($AE80="","",IFERROR(INDEX(Players!$D$2:$D$301,$AE80),""))</f>
        <v/>
      </c>
      <c r="H80">
        <f>IF($AE80="","",IFERROR(INDEX(Players!$C$2:$C$301,$AE80),""))</f>
        <v/>
      </c>
      <c r="I80" s="12">
        <f>IF($AE80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-76+0.5)/3.5))))</f>
        <v/>
      </c>
      <c r="J80" s="12">
        <f>IF($AE80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-76+0.5)/3.5))))</f>
        <v/>
      </c>
      <c r="K80" s="13">
        <f>IF($AE80="","",IFERROR(INDEX(Players!$U$2:$U$301,$AE80),""))</f>
        <v/>
      </c>
      <c r="L80" s="13">
        <f>IF($AE80="","",IFERROR(INDEX(Players!$X$2:$X$301,$AE80),""))</f>
        <v/>
      </c>
      <c r="M80" s="14">
        <f>IF($AE80="","",IFERROR(INDEX(Players!$K$2:$K$301,$AE80),""))</f>
        <v/>
      </c>
      <c r="N80" s="14">
        <f>IF($AE80="","",IFERROR(INDEX(Players!$H$2:$H$301,$AE80),""))</f>
        <v/>
      </c>
      <c r="O80" s="15">
        <f>IF($AE80="","",IFERROR(INDEX(Players!$G$2:$G$301,$AE80),""))</f>
        <v/>
      </c>
      <c r="P80" s="14">
        <f>IF($AE80="","",IFERROR(INDEX(Players!$I$2:$I$301,$AE80),""))</f>
        <v/>
      </c>
      <c r="Q80" s="14">
        <f>IF($AE80="","",IFERROR(INDEX(Players!$F$2:$F$301,$AE80),""))</f>
        <v/>
      </c>
      <c r="R80" s="14">
        <f>IF($AE80="","",IFERROR(INDEX(Players!$J$2:$J$301,$AE80),""))</f>
        <v/>
      </c>
      <c r="S80" s="15">
        <f>IF($AE80="","",IFERROR(INDEX(Players!$L$2:$L$301,$AE80),""))</f>
        <v/>
      </c>
      <c r="T80" s="14">
        <f>IF($AE80="","",IFERROR(INDEX(Players!$M$2:$M$301,$AE80),""))</f>
        <v/>
      </c>
      <c r="U80" s="14">
        <f>IF($AE80="","",IFERROR(INDEX(Players!$N$2:$N$301,$AE80),""))</f>
        <v/>
      </c>
      <c r="V80" s="14">
        <f>IF($AE80="","",IFERROR(INDEX(Players!$O$2:$O$301,$AE80),""))</f>
        <v/>
      </c>
      <c r="W80" s="14">
        <f>IF($AE80="","",IFERROR(INDEX(Players!$P$2:$P$301,$AE80),""))</f>
        <v/>
      </c>
      <c r="X80" s="14">
        <f>IF($AE80="","",IFERROR(INDEX(Players!$Q$2:$Q$301,$AE80),""))</f>
        <v/>
      </c>
      <c r="Y80" s="14">
        <f>IF($AE80="","",IFERROR(INDEX(Players!$R$2:$R$301,$AE80),""))</f>
        <v/>
      </c>
      <c r="AE80">
        <f>IFERROR(MATCH(LARGE(Players!$V$2:$V$301,76),Players!$V$2:$V$301,0),"")</f>
        <v/>
      </c>
    </row>
    <row r="81">
      <c r="A81" s="9" t="inlineStr">
        <is>
          <t>7.05</t>
        </is>
      </c>
      <c r="B81" s="18" t="inlineStr">
        <is>
          <t>Team 5</t>
        </is>
      </c>
      <c r="C81" s="19" t="n"/>
      <c r="E81" s="9" t="n">
        <v>77</v>
      </c>
      <c r="F81">
        <f>IF($AE81="","",IFERROR(INDEX(Players!$B$2:$B$301,$AE81),""))</f>
        <v/>
      </c>
      <c r="G81">
        <f>IF($AE81="","",IFERROR(INDEX(Players!$D$2:$D$301,$AE81),""))</f>
        <v/>
      </c>
      <c r="H81">
        <f>IF($AE81="","",IFERROR(INDEX(Players!$C$2:$C$301,$AE81),""))</f>
        <v/>
      </c>
      <c r="I81" s="12">
        <f>IF($AE81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-77+0.5)/3.5))))</f>
        <v/>
      </c>
      <c r="J81" s="12">
        <f>IF($AE81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-77+0.5)/3.5))))</f>
        <v/>
      </c>
      <c r="K81" s="13">
        <f>IF($AE81="","",IFERROR(INDEX(Players!$U$2:$U$301,$AE81),""))</f>
        <v/>
      </c>
      <c r="L81" s="13">
        <f>IF($AE81="","",IFERROR(INDEX(Players!$X$2:$X$301,$AE81),""))</f>
        <v/>
      </c>
      <c r="M81" s="14">
        <f>IF($AE81="","",IFERROR(INDEX(Players!$K$2:$K$301,$AE81),""))</f>
        <v/>
      </c>
      <c r="N81" s="14">
        <f>IF($AE81="","",IFERROR(INDEX(Players!$H$2:$H$301,$AE81),""))</f>
        <v/>
      </c>
      <c r="O81" s="15">
        <f>IF($AE81="","",IFERROR(INDEX(Players!$G$2:$G$301,$AE81),""))</f>
        <v/>
      </c>
      <c r="P81" s="14">
        <f>IF($AE81="","",IFERROR(INDEX(Players!$I$2:$I$301,$AE81),""))</f>
        <v/>
      </c>
      <c r="Q81" s="14">
        <f>IF($AE81="","",IFERROR(INDEX(Players!$F$2:$F$301,$AE81),""))</f>
        <v/>
      </c>
      <c r="R81" s="14">
        <f>IF($AE81="","",IFERROR(INDEX(Players!$J$2:$J$301,$AE81),""))</f>
        <v/>
      </c>
      <c r="S81" s="15">
        <f>IF($AE81="","",IFERROR(INDEX(Players!$L$2:$L$301,$AE81),""))</f>
        <v/>
      </c>
      <c r="T81" s="14">
        <f>IF($AE81="","",IFERROR(INDEX(Players!$M$2:$M$301,$AE81),""))</f>
        <v/>
      </c>
      <c r="U81" s="14">
        <f>IF($AE81="","",IFERROR(INDEX(Players!$N$2:$N$301,$AE81),""))</f>
        <v/>
      </c>
      <c r="V81" s="14">
        <f>IF($AE81="","",IFERROR(INDEX(Players!$O$2:$O$301,$AE81),""))</f>
        <v/>
      </c>
      <c r="W81" s="14">
        <f>IF($AE81="","",IFERROR(INDEX(Players!$P$2:$P$301,$AE81),""))</f>
        <v/>
      </c>
      <c r="X81" s="14">
        <f>IF($AE81="","",IFERROR(INDEX(Players!$Q$2:$Q$301,$AE81),""))</f>
        <v/>
      </c>
      <c r="Y81" s="14">
        <f>IF($AE81="","",IFERROR(INDEX(Players!$R$2:$R$301,$AE81),""))</f>
        <v/>
      </c>
      <c r="AE81">
        <f>IFERROR(MATCH(LARGE(Players!$V$2:$V$301,77),Players!$V$2:$V$301,0),"")</f>
        <v/>
      </c>
    </row>
    <row r="82">
      <c r="A82" s="9" t="inlineStr">
        <is>
          <t>7.06</t>
        </is>
      </c>
      <c r="B82" s="18" t="inlineStr">
        <is>
          <t>Team 6</t>
        </is>
      </c>
      <c r="C82" s="19" t="n"/>
      <c r="E82" s="9" t="n">
        <v>78</v>
      </c>
      <c r="F82">
        <f>IF($AE82="","",IFERROR(INDEX(Players!$B$2:$B$301,$AE82),""))</f>
        <v/>
      </c>
      <c r="G82">
        <f>IF($AE82="","",IFERROR(INDEX(Players!$D$2:$D$301,$AE82),""))</f>
        <v/>
      </c>
      <c r="H82">
        <f>IF($AE82="","",IFERROR(INDEX(Players!$C$2:$C$301,$AE82),""))</f>
        <v/>
      </c>
      <c r="I82" s="12">
        <f>IF($AE82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-78+0.5)/3.5))))</f>
        <v/>
      </c>
      <c r="J82" s="12">
        <f>IF($AE82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-78+0.5)/3.5))))</f>
        <v/>
      </c>
      <c r="K82" s="13">
        <f>IF($AE82="","",IFERROR(INDEX(Players!$U$2:$U$301,$AE82),""))</f>
        <v/>
      </c>
      <c r="L82" s="13">
        <f>IF($AE82="","",IFERROR(INDEX(Players!$X$2:$X$301,$AE82),""))</f>
        <v/>
      </c>
      <c r="M82" s="14">
        <f>IF($AE82="","",IFERROR(INDEX(Players!$K$2:$K$301,$AE82),""))</f>
        <v/>
      </c>
      <c r="N82" s="14">
        <f>IF($AE82="","",IFERROR(INDEX(Players!$H$2:$H$301,$AE82),""))</f>
        <v/>
      </c>
      <c r="O82" s="15">
        <f>IF($AE82="","",IFERROR(INDEX(Players!$G$2:$G$301,$AE82),""))</f>
        <v/>
      </c>
      <c r="P82" s="14">
        <f>IF($AE82="","",IFERROR(INDEX(Players!$I$2:$I$301,$AE82),""))</f>
        <v/>
      </c>
      <c r="Q82" s="14">
        <f>IF($AE82="","",IFERROR(INDEX(Players!$F$2:$F$301,$AE82),""))</f>
        <v/>
      </c>
      <c r="R82" s="14">
        <f>IF($AE82="","",IFERROR(INDEX(Players!$J$2:$J$301,$AE82),""))</f>
        <v/>
      </c>
      <c r="S82" s="15">
        <f>IF($AE82="","",IFERROR(INDEX(Players!$L$2:$L$301,$AE82),""))</f>
        <v/>
      </c>
      <c r="T82" s="14">
        <f>IF($AE82="","",IFERROR(INDEX(Players!$M$2:$M$301,$AE82),""))</f>
        <v/>
      </c>
      <c r="U82" s="14">
        <f>IF($AE82="","",IFERROR(INDEX(Players!$N$2:$N$301,$AE82),""))</f>
        <v/>
      </c>
      <c r="V82" s="14">
        <f>IF($AE82="","",IFERROR(INDEX(Players!$O$2:$O$301,$AE82),""))</f>
        <v/>
      </c>
      <c r="W82" s="14">
        <f>IF($AE82="","",IFERROR(INDEX(Players!$P$2:$P$301,$AE82),""))</f>
        <v/>
      </c>
      <c r="X82" s="14">
        <f>IF($AE82="","",IFERROR(INDEX(Players!$Q$2:$Q$301,$AE82),""))</f>
        <v/>
      </c>
      <c r="Y82" s="14">
        <f>IF($AE82="","",IFERROR(INDEX(Players!$R$2:$R$301,$AE82),""))</f>
        <v/>
      </c>
      <c r="AE82">
        <f>IFERROR(MATCH(LARGE(Players!$V$2:$V$301,78),Players!$V$2:$V$301,0),"")</f>
        <v/>
      </c>
    </row>
    <row r="83">
      <c r="A83" s="9" t="inlineStr">
        <is>
          <t>7.07</t>
        </is>
      </c>
      <c r="B83" s="18" t="inlineStr">
        <is>
          <t>Team 7</t>
        </is>
      </c>
      <c r="C83" s="19" t="n"/>
      <c r="E83" s="9" t="n">
        <v>79</v>
      </c>
      <c r="F83">
        <f>IF($AE83="","",IFERROR(INDEX(Players!$B$2:$B$301,$AE83),""))</f>
        <v/>
      </c>
      <c r="G83">
        <f>IF($AE83="","",IFERROR(INDEX(Players!$D$2:$D$301,$AE83),""))</f>
        <v/>
      </c>
      <c r="H83">
        <f>IF($AE83="","",IFERROR(INDEX(Players!$C$2:$C$301,$AE83),""))</f>
        <v/>
      </c>
      <c r="I83" s="12">
        <f>IF($AE83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-79+0.5)/3.5))))</f>
        <v/>
      </c>
      <c r="J83" s="12">
        <f>IF($AE83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-79+0.5)/3.5))))</f>
        <v/>
      </c>
      <c r="K83" s="13">
        <f>IF($AE83="","",IFERROR(INDEX(Players!$U$2:$U$301,$AE83),""))</f>
        <v/>
      </c>
      <c r="L83" s="13">
        <f>IF($AE83="","",IFERROR(INDEX(Players!$X$2:$X$301,$AE83),""))</f>
        <v/>
      </c>
      <c r="M83" s="14">
        <f>IF($AE83="","",IFERROR(INDEX(Players!$K$2:$K$301,$AE83),""))</f>
        <v/>
      </c>
      <c r="N83" s="14">
        <f>IF($AE83="","",IFERROR(INDEX(Players!$H$2:$H$301,$AE83),""))</f>
        <v/>
      </c>
      <c r="O83" s="15">
        <f>IF($AE83="","",IFERROR(INDEX(Players!$G$2:$G$301,$AE83),""))</f>
        <v/>
      </c>
      <c r="P83" s="14">
        <f>IF($AE83="","",IFERROR(INDEX(Players!$I$2:$I$301,$AE83),""))</f>
        <v/>
      </c>
      <c r="Q83" s="14">
        <f>IF($AE83="","",IFERROR(INDEX(Players!$F$2:$F$301,$AE83),""))</f>
        <v/>
      </c>
      <c r="R83" s="14">
        <f>IF($AE83="","",IFERROR(INDEX(Players!$J$2:$J$301,$AE83),""))</f>
        <v/>
      </c>
      <c r="S83" s="15">
        <f>IF($AE83="","",IFERROR(INDEX(Players!$L$2:$L$301,$AE83),""))</f>
        <v/>
      </c>
      <c r="T83" s="14">
        <f>IF($AE83="","",IFERROR(INDEX(Players!$M$2:$M$301,$AE83),""))</f>
        <v/>
      </c>
      <c r="U83" s="14">
        <f>IF($AE83="","",IFERROR(INDEX(Players!$N$2:$N$301,$AE83),""))</f>
        <v/>
      </c>
      <c r="V83" s="14">
        <f>IF($AE83="","",IFERROR(INDEX(Players!$O$2:$O$301,$AE83),""))</f>
        <v/>
      </c>
      <c r="W83" s="14">
        <f>IF($AE83="","",IFERROR(INDEX(Players!$P$2:$P$301,$AE83),""))</f>
        <v/>
      </c>
      <c r="X83" s="14">
        <f>IF($AE83="","",IFERROR(INDEX(Players!$Q$2:$Q$301,$AE83),""))</f>
        <v/>
      </c>
      <c r="Y83" s="14">
        <f>IF($AE83="","",IFERROR(INDEX(Players!$R$2:$R$301,$AE83),""))</f>
        <v/>
      </c>
      <c r="AE83">
        <f>IFERROR(MATCH(LARGE(Players!$V$2:$V$301,79),Players!$V$2:$V$301,0),"")</f>
        <v/>
      </c>
    </row>
    <row r="84">
      <c r="A84" s="9" t="inlineStr">
        <is>
          <t>7.08</t>
        </is>
      </c>
      <c r="B84" s="18" t="inlineStr">
        <is>
          <t>Team 8</t>
        </is>
      </c>
      <c r="C84" s="19" t="n"/>
      <c r="E84" s="9" t="n">
        <v>80</v>
      </c>
      <c r="F84">
        <f>IF($AE84="","",IFERROR(INDEX(Players!$B$2:$B$301,$AE84),""))</f>
        <v/>
      </c>
      <c r="G84">
        <f>IF($AE84="","",IFERROR(INDEX(Players!$D$2:$D$301,$AE84),""))</f>
        <v/>
      </c>
      <c r="H84">
        <f>IF($AE84="","",IFERROR(INDEX(Players!$C$2:$C$301,$AE84),""))</f>
        <v/>
      </c>
      <c r="I84" s="12">
        <f>IF($AE84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-80+0.5)/3.5))))</f>
        <v/>
      </c>
      <c r="J84" s="12">
        <f>IF($AE84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-80+0.5)/3.5))))</f>
        <v/>
      </c>
      <c r="K84" s="13">
        <f>IF($AE84="","",IFERROR(INDEX(Players!$U$2:$U$301,$AE84),""))</f>
        <v/>
      </c>
      <c r="L84" s="13">
        <f>IF($AE84="","",IFERROR(INDEX(Players!$X$2:$X$301,$AE84),""))</f>
        <v/>
      </c>
      <c r="M84" s="14">
        <f>IF($AE84="","",IFERROR(INDEX(Players!$K$2:$K$301,$AE84),""))</f>
        <v/>
      </c>
      <c r="N84" s="14">
        <f>IF($AE84="","",IFERROR(INDEX(Players!$H$2:$H$301,$AE84),""))</f>
        <v/>
      </c>
      <c r="O84" s="15">
        <f>IF($AE84="","",IFERROR(INDEX(Players!$G$2:$G$301,$AE84),""))</f>
        <v/>
      </c>
      <c r="P84" s="14">
        <f>IF($AE84="","",IFERROR(INDEX(Players!$I$2:$I$301,$AE84),""))</f>
        <v/>
      </c>
      <c r="Q84" s="14">
        <f>IF($AE84="","",IFERROR(INDEX(Players!$F$2:$F$301,$AE84),""))</f>
        <v/>
      </c>
      <c r="R84" s="14">
        <f>IF($AE84="","",IFERROR(INDEX(Players!$J$2:$J$301,$AE84),""))</f>
        <v/>
      </c>
      <c r="S84" s="15">
        <f>IF($AE84="","",IFERROR(INDEX(Players!$L$2:$L$301,$AE84),""))</f>
        <v/>
      </c>
      <c r="T84" s="14">
        <f>IF($AE84="","",IFERROR(INDEX(Players!$M$2:$M$301,$AE84),""))</f>
        <v/>
      </c>
      <c r="U84" s="14">
        <f>IF($AE84="","",IFERROR(INDEX(Players!$N$2:$N$301,$AE84),""))</f>
        <v/>
      </c>
      <c r="V84" s="14">
        <f>IF($AE84="","",IFERROR(INDEX(Players!$O$2:$O$301,$AE84),""))</f>
        <v/>
      </c>
      <c r="W84" s="14">
        <f>IF($AE84="","",IFERROR(INDEX(Players!$P$2:$P$301,$AE84),""))</f>
        <v/>
      </c>
      <c r="X84" s="14">
        <f>IF($AE84="","",IFERROR(INDEX(Players!$Q$2:$Q$301,$AE84),""))</f>
        <v/>
      </c>
      <c r="Y84" s="14">
        <f>IF($AE84="","",IFERROR(INDEX(Players!$R$2:$R$301,$AE84),""))</f>
        <v/>
      </c>
      <c r="AE84">
        <f>IFERROR(MATCH(LARGE(Players!$V$2:$V$301,80),Players!$V$2:$V$301,0),"")</f>
        <v/>
      </c>
    </row>
    <row r="85">
      <c r="A85" s="9" t="inlineStr">
        <is>
          <t>7.09</t>
        </is>
      </c>
      <c r="B85" s="18" t="inlineStr">
        <is>
          <t>Team 9</t>
        </is>
      </c>
      <c r="C85" s="19" t="n"/>
      <c r="E85" s="9" t="n">
        <v>81</v>
      </c>
      <c r="F85">
        <f>IF($AE85="","",IFERROR(INDEX(Players!$B$2:$B$301,$AE85),""))</f>
        <v/>
      </c>
      <c r="G85">
        <f>IF($AE85="","",IFERROR(INDEX(Players!$D$2:$D$301,$AE85),""))</f>
        <v/>
      </c>
      <c r="H85">
        <f>IF($AE85="","",IFERROR(INDEX(Players!$C$2:$C$301,$AE85),""))</f>
        <v/>
      </c>
      <c r="I85" s="12">
        <f>IF($AE85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-81+0.5)/3.5))))</f>
        <v/>
      </c>
      <c r="J85" s="12">
        <f>IF($AE85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-81+0.5)/3.5))))</f>
        <v/>
      </c>
      <c r="K85" s="13">
        <f>IF($AE85="","",IFERROR(INDEX(Players!$U$2:$U$301,$AE85),""))</f>
        <v/>
      </c>
      <c r="L85" s="13">
        <f>IF($AE85="","",IFERROR(INDEX(Players!$X$2:$X$301,$AE85),""))</f>
        <v/>
      </c>
      <c r="M85" s="14">
        <f>IF($AE85="","",IFERROR(INDEX(Players!$K$2:$K$301,$AE85),""))</f>
        <v/>
      </c>
      <c r="N85" s="14">
        <f>IF($AE85="","",IFERROR(INDEX(Players!$H$2:$H$301,$AE85),""))</f>
        <v/>
      </c>
      <c r="O85" s="15">
        <f>IF($AE85="","",IFERROR(INDEX(Players!$G$2:$G$301,$AE85),""))</f>
        <v/>
      </c>
      <c r="P85" s="14">
        <f>IF($AE85="","",IFERROR(INDEX(Players!$I$2:$I$301,$AE85),""))</f>
        <v/>
      </c>
      <c r="Q85" s="14">
        <f>IF($AE85="","",IFERROR(INDEX(Players!$F$2:$F$301,$AE85),""))</f>
        <v/>
      </c>
      <c r="R85" s="14">
        <f>IF($AE85="","",IFERROR(INDEX(Players!$J$2:$J$301,$AE85),""))</f>
        <v/>
      </c>
      <c r="S85" s="15">
        <f>IF($AE85="","",IFERROR(INDEX(Players!$L$2:$L$301,$AE85),""))</f>
        <v/>
      </c>
      <c r="T85" s="14">
        <f>IF($AE85="","",IFERROR(INDEX(Players!$M$2:$M$301,$AE85),""))</f>
        <v/>
      </c>
      <c r="U85" s="14">
        <f>IF($AE85="","",IFERROR(INDEX(Players!$N$2:$N$301,$AE85),""))</f>
        <v/>
      </c>
      <c r="V85" s="14">
        <f>IF($AE85="","",IFERROR(INDEX(Players!$O$2:$O$301,$AE85),""))</f>
        <v/>
      </c>
      <c r="W85" s="14">
        <f>IF($AE85="","",IFERROR(INDEX(Players!$P$2:$P$301,$AE85),""))</f>
        <v/>
      </c>
      <c r="X85" s="14">
        <f>IF($AE85="","",IFERROR(INDEX(Players!$Q$2:$Q$301,$AE85),""))</f>
        <v/>
      </c>
      <c r="Y85" s="14">
        <f>IF($AE85="","",IFERROR(INDEX(Players!$R$2:$R$301,$AE85),""))</f>
        <v/>
      </c>
      <c r="AE85">
        <f>IFERROR(MATCH(LARGE(Players!$V$2:$V$301,81),Players!$V$2:$V$301,0),"")</f>
        <v/>
      </c>
    </row>
    <row r="86">
      <c r="A86" s="9" t="inlineStr">
        <is>
          <t>7.10</t>
        </is>
      </c>
      <c r="B86" s="18" t="inlineStr">
        <is>
          <t>Team 10</t>
        </is>
      </c>
      <c r="C86" s="19" t="n"/>
      <c r="E86" s="9" t="n">
        <v>82</v>
      </c>
      <c r="F86">
        <f>IF($AE86="","",IFERROR(INDEX(Players!$B$2:$B$301,$AE86),""))</f>
        <v/>
      </c>
      <c r="G86">
        <f>IF($AE86="","",IFERROR(INDEX(Players!$D$2:$D$301,$AE86),""))</f>
        <v/>
      </c>
      <c r="H86">
        <f>IF($AE86="","",IFERROR(INDEX(Players!$C$2:$C$301,$AE86),""))</f>
        <v/>
      </c>
      <c r="I86" s="12">
        <f>IF($AE86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-82+0.5)/3.5))))</f>
        <v/>
      </c>
      <c r="J86" s="12">
        <f>IF($AE86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-82+0.5)/3.5))))</f>
        <v/>
      </c>
      <c r="K86" s="13">
        <f>IF($AE86="","",IFERROR(INDEX(Players!$U$2:$U$301,$AE86),""))</f>
        <v/>
      </c>
      <c r="L86" s="13">
        <f>IF($AE86="","",IFERROR(INDEX(Players!$X$2:$X$301,$AE86),""))</f>
        <v/>
      </c>
      <c r="M86" s="14">
        <f>IF($AE86="","",IFERROR(INDEX(Players!$K$2:$K$301,$AE86),""))</f>
        <v/>
      </c>
      <c r="N86" s="14">
        <f>IF($AE86="","",IFERROR(INDEX(Players!$H$2:$H$301,$AE86),""))</f>
        <v/>
      </c>
      <c r="O86" s="15">
        <f>IF($AE86="","",IFERROR(INDEX(Players!$G$2:$G$301,$AE86),""))</f>
        <v/>
      </c>
      <c r="P86" s="14">
        <f>IF($AE86="","",IFERROR(INDEX(Players!$I$2:$I$301,$AE86),""))</f>
        <v/>
      </c>
      <c r="Q86" s="14">
        <f>IF($AE86="","",IFERROR(INDEX(Players!$F$2:$F$301,$AE86),""))</f>
        <v/>
      </c>
      <c r="R86" s="14">
        <f>IF($AE86="","",IFERROR(INDEX(Players!$J$2:$J$301,$AE86),""))</f>
        <v/>
      </c>
      <c r="S86" s="15">
        <f>IF($AE86="","",IFERROR(INDEX(Players!$L$2:$L$301,$AE86),""))</f>
        <v/>
      </c>
      <c r="T86" s="14">
        <f>IF($AE86="","",IFERROR(INDEX(Players!$M$2:$M$301,$AE86),""))</f>
        <v/>
      </c>
      <c r="U86" s="14">
        <f>IF($AE86="","",IFERROR(INDEX(Players!$N$2:$N$301,$AE86),""))</f>
        <v/>
      </c>
      <c r="V86" s="14">
        <f>IF($AE86="","",IFERROR(INDEX(Players!$O$2:$O$301,$AE86),""))</f>
        <v/>
      </c>
      <c r="W86" s="14">
        <f>IF($AE86="","",IFERROR(INDEX(Players!$P$2:$P$301,$AE86),""))</f>
        <v/>
      </c>
      <c r="X86" s="14">
        <f>IF($AE86="","",IFERROR(INDEX(Players!$Q$2:$Q$301,$AE86),""))</f>
        <v/>
      </c>
      <c r="Y86" s="14">
        <f>IF($AE86="","",IFERROR(INDEX(Players!$R$2:$R$301,$AE86),""))</f>
        <v/>
      </c>
      <c r="AE86">
        <f>IFERROR(MATCH(LARGE(Players!$V$2:$V$301,82),Players!$V$2:$V$301,0),"")</f>
        <v/>
      </c>
    </row>
    <row r="87">
      <c r="A87" s="9" t="inlineStr">
        <is>
          <t>7.11</t>
        </is>
      </c>
      <c r="B87" s="18" t="inlineStr">
        <is>
          <t>Team 11</t>
        </is>
      </c>
      <c r="C87" s="19" t="n"/>
      <c r="E87" s="9" t="n">
        <v>83</v>
      </c>
      <c r="F87">
        <f>IF($AE87="","",IFERROR(INDEX(Players!$B$2:$B$301,$AE87),""))</f>
        <v/>
      </c>
      <c r="G87">
        <f>IF($AE87="","",IFERROR(INDEX(Players!$D$2:$D$301,$AE87),""))</f>
        <v/>
      </c>
      <c r="H87">
        <f>IF($AE87="","",IFERROR(INDEX(Players!$C$2:$C$301,$AE87),""))</f>
        <v/>
      </c>
      <c r="I87" s="12">
        <f>IF($AE87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-83+0.5)/3.5))))</f>
        <v/>
      </c>
      <c r="J87" s="12">
        <f>IF($AE87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-83+0.5)/3.5))))</f>
        <v/>
      </c>
      <c r="K87" s="13">
        <f>IF($AE87="","",IFERROR(INDEX(Players!$U$2:$U$301,$AE87),""))</f>
        <v/>
      </c>
      <c r="L87" s="13">
        <f>IF($AE87="","",IFERROR(INDEX(Players!$X$2:$X$301,$AE87),""))</f>
        <v/>
      </c>
      <c r="M87" s="14">
        <f>IF($AE87="","",IFERROR(INDEX(Players!$K$2:$K$301,$AE87),""))</f>
        <v/>
      </c>
      <c r="N87" s="14">
        <f>IF($AE87="","",IFERROR(INDEX(Players!$H$2:$H$301,$AE87),""))</f>
        <v/>
      </c>
      <c r="O87" s="15">
        <f>IF($AE87="","",IFERROR(INDEX(Players!$G$2:$G$301,$AE87),""))</f>
        <v/>
      </c>
      <c r="P87" s="14">
        <f>IF($AE87="","",IFERROR(INDEX(Players!$I$2:$I$301,$AE87),""))</f>
        <v/>
      </c>
      <c r="Q87" s="14">
        <f>IF($AE87="","",IFERROR(INDEX(Players!$F$2:$F$301,$AE87),""))</f>
        <v/>
      </c>
      <c r="R87" s="14">
        <f>IF($AE87="","",IFERROR(INDEX(Players!$J$2:$J$301,$AE87),""))</f>
        <v/>
      </c>
      <c r="S87" s="15">
        <f>IF($AE87="","",IFERROR(INDEX(Players!$L$2:$L$301,$AE87),""))</f>
        <v/>
      </c>
      <c r="T87" s="14">
        <f>IF($AE87="","",IFERROR(INDEX(Players!$M$2:$M$301,$AE87),""))</f>
        <v/>
      </c>
      <c r="U87" s="14">
        <f>IF($AE87="","",IFERROR(INDEX(Players!$N$2:$N$301,$AE87),""))</f>
        <v/>
      </c>
      <c r="V87" s="14">
        <f>IF($AE87="","",IFERROR(INDEX(Players!$O$2:$O$301,$AE87),""))</f>
        <v/>
      </c>
      <c r="W87" s="14">
        <f>IF($AE87="","",IFERROR(INDEX(Players!$P$2:$P$301,$AE87),""))</f>
        <v/>
      </c>
      <c r="X87" s="14">
        <f>IF($AE87="","",IFERROR(INDEX(Players!$Q$2:$Q$301,$AE87),""))</f>
        <v/>
      </c>
      <c r="Y87" s="14">
        <f>IF($AE87="","",IFERROR(INDEX(Players!$R$2:$R$301,$AE87),""))</f>
        <v/>
      </c>
      <c r="AE87">
        <f>IFERROR(MATCH(LARGE(Players!$V$2:$V$301,83),Players!$V$2:$V$301,0),"")</f>
        <v/>
      </c>
    </row>
    <row r="88">
      <c r="A88" s="9" t="inlineStr">
        <is>
          <t>7.12</t>
        </is>
      </c>
      <c r="B88" s="18" t="inlineStr">
        <is>
          <t>Team 12</t>
        </is>
      </c>
      <c r="C88" s="19" t="n"/>
      <c r="E88" s="9" t="n">
        <v>84</v>
      </c>
      <c r="F88">
        <f>IF($AE88="","",IFERROR(INDEX(Players!$B$2:$B$301,$AE88),""))</f>
        <v/>
      </c>
      <c r="G88">
        <f>IF($AE88="","",IFERROR(INDEX(Players!$D$2:$D$301,$AE88),""))</f>
        <v/>
      </c>
      <c r="H88">
        <f>IF($AE88="","",IFERROR(INDEX(Players!$C$2:$C$301,$AE88),""))</f>
        <v/>
      </c>
      <c r="I88" s="12">
        <f>IF($AE88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-84+0.5)/3.5))))</f>
        <v/>
      </c>
      <c r="J88" s="12">
        <f>IF($AE88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-84+0.5)/3.5))))</f>
        <v/>
      </c>
      <c r="K88" s="13">
        <f>IF($AE88="","",IFERROR(INDEX(Players!$U$2:$U$301,$AE88),""))</f>
        <v/>
      </c>
      <c r="L88" s="13">
        <f>IF($AE88="","",IFERROR(INDEX(Players!$X$2:$X$301,$AE88),""))</f>
        <v/>
      </c>
      <c r="M88" s="14">
        <f>IF($AE88="","",IFERROR(INDEX(Players!$K$2:$K$301,$AE88),""))</f>
        <v/>
      </c>
      <c r="N88" s="14">
        <f>IF($AE88="","",IFERROR(INDEX(Players!$H$2:$H$301,$AE88),""))</f>
        <v/>
      </c>
      <c r="O88" s="15">
        <f>IF($AE88="","",IFERROR(INDEX(Players!$G$2:$G$301,$AE88),""))</f>
        <v/>
      </c>
      <c r="P88" s="14">
        <f>IF($AE88="","",IFERROR(INDEX(Players!$I$2:$I$301,$AE88),""))</f>
        <v/>
      </c>
      <c r="Q88" s="14">
        <f>IF($AE88="","",IFERROR(INDEX(Players!$F$2:$F$301,$AE88),""))</f>
        <v/>
      </c>
      <c r="R88" s="14">
        <f>IF($AE88="","",IFERROR(INDEX(Players!$J$2:$J$301,$AE88),""))</f>
        <v/>
      </c>
      <c r="S88" s="15">
        <f>IF($AE88="","",IFERROR(INDEX(Players!$L$2:$L$301,$AE88),""))</f>
        <v/>
      </c>
      <c r="T88" s="14">
        <f>IF($AE88="","",IFERROR(INDEX(Players!$M$2:$M$301,$AE88),""))</f>
        <v/>
      </c>
      <c r="U88" s="14">
        <f>IF($AE88="","",IFERROR(INDEX(Players!$N$2:$N$301,$AE88),""))</f>
        <v/>
      </c>
      <c r="V88" s="14">
        <f>IF($AE88="","",IFERROR(INDEX(Players!$O$2:$O$301,$AE88),""))</f>
        <v/>
      </c>
      <c r="W88" s="14">
        <f>IF($AE88="","",IFERROR(INDEX(Players!$P$2:$P$301,$AE88),""))</f>
        <v/>
      </c>
      <c r="X88" s="14">
        <f>IF($AE88="","",IFERROR(INDEX(Players!$Q$2:$Q$301,$AE88),""))</f>
        <v/>
      </c>
      <c r="Y88" s="14">
        <f>IF($AE88="","",IFERROR(INDEX(Players!$R$2:$R$301,$AE88),""))</f>
        <v/>
      </c>
      <c r="AE88">
        <f>IFERROR(MATCH(LARGE(Players!$V$2:$V$301,84),Players!$V$2:$V$301,0),"")</f>
        <v/>
      </c>
    </row>
    <row r="89">
      <c r="A89" s="9" t="inlineStr">
        <is>
          <t>8.01</t>
        </is>
      </c>
      <c r="B89" s="18" t="inlineStr">
        <is>
          <t>Team 12</t>
        </is>
      </c>
      <c r="C89" s="19" t="n"/>
      <c r="E89" s="9" t="n">
        <v>85</v>
      </c>
      <c r="F89">
        <f>IF($AE89="","",IFERROR(INDEX(Players!$B$2:$B$301,$AE89),""))</f>
        <v/>
      </c>
      <c r="G89">
        <f>IF($AE89="","",IFERROR(INDEX(Players!$D$2:$D$301,$AE89),""))</f>
        <v/>
      </c>
      <c r="H89">
        <f>IF($AE89="","",IFERROR(INDEX(Players!$C$2:$C$301,$AE89),""))</f>
        <v/>
      </c>
      <c r="I89" s="12">
        <f>IF($AE89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-85+0.5)/3.5))))</f>
        <v/>
      </c>
      <c r="J89" s="12">
        <f>IF($AE89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-85+0.5)/3.5))))</f>
        <v/>
      </c>
      <c r="K89" s="13">
        <f>IF($AE89="","",IFERROR(INDEX(Players!$U$2:$U$301,$AE89),""))</f>
        <v/>
      </c>
      <c r="L89" s="13">
        <f>IF($AE89="","",IFERROR(INDEX(Players!$X$2:$X$301,$AE89),""))</f>
        <v/>
      </c>
      <c r="M89" s="14">
        <f>IF($AE89="","",IFERROR(INDEX(Players!$K$2:$K$301,$AE89),""))</f>
        <v/>
      </c>
      <c r="N89" s="14">
        <f>IF($AE89="","",IFERROR(INDEX(Players!$H$2:$H$301,$AE89),""))</f>
        <v/>
      </c>
      <c r="O89" s="15">
        <f>IF($AE89="","",IFERROR(INDEX(Players!$G$2:$G$301,$AE89),""))</f>
        <v/>
      </c>
      <c r="P89" s="14">
        <f>IF($AE89="","",IFERROR(INDEX(Players!$I$2:$I$301,$AE89),""))</f>
        <v/>
      </c>
      <c r="Q89" s="14">
        <f>IF($AE89="","",IFERROR(INDEX(Players!$F$2:$F$301,$AE89),""))</f>
        <v/>
      </c>
      <c r="R89" s="14">
        <f>IF($AE89="","",IFERROR(INDEX(Players!$J$2:$J$301,$AE89),""))</f>
        <v/>
      </c>
      <c r="S89" s="15">
        <f>IF($AE89="","",IFERROR(INDEX(Players!$L$2:$L$301,$AE89),""))</f>
        <v/>
      </c>
      <c r="T89" s="14">
        <f>IF($AE89="","",IFERROR(INDEX(Players!$M$2:$M$301,$AE89),""))</f>
        <v/>
      </c>
      <c r="U89" s="14">
        <f>IF($AE89="","",IFERROR(INDEX(Players!$N$2:$N$301,$AE89),""))</f>
        <v/>
      </c>
      <c r="V89" s="14">
        <f>IF($AE89="","",IFERROR(INDEX(Players!$O$2:$O$301,$AE89),""))</f>
        <v/>
      </c>
      <c r="W89" s="14">
        <f>IF($AE89="","",IFERROR(INDEX(Players!$P$2:$P$301,$AE89),""))</f>
        <v/>
      </c>
      <c r="X89" s="14">
        <f>IF($AE89="","",IFERROR(INDEX(Players!$Q$2:$Q$301,$AE89),""))</f>
        <v/>
      </c>
      <c r="Y89" s="14">
        <f>IF($AE89="","",IFERROR(INDEX(Players!$R$2:$R$301,$AE89),""))</f>
        <v/>
      </c>
      <c r="AE89">
        <f>IFERROR(MATCH(LARGE(Players!$V$2:$V$301,85),Players!$V$2:$V$301,0),"")</f>
        <v/>
      </c>
    </row>
    <row r="90">
      <c r="A90" s="9" t="inlineStr">
        <is>
          <t>8.02</t>
        </is>
      </c>
      <c r="B90" s="18" t="inlineStr">
        <is>
          <t>Team 11</t>
        </is>
      </c>
      <c r="C90" s="19" t="n"/>
      <c r="E90" s="9" t="n">
        <v>86</v>
      </c>
      <c r="F90">
        <f>IF($AE90="","",IFERROR(INDEX(Players!$B$2:$B$301,$AE90),""))</f>
        <v/>
      </c>
      <c r="G90">
        <f>IF($AE90="","",IFERROR(INDEX(Players!$D$2:$D$301,$AE90),""))</f>
        <v/>
      </c>
      <c r="H90">
        <f>IF($AE90="","",IFERROR(INDEX(Players!$C$2:$C$301,$AE90),""))</f>
        <v/>
      </c>
      <c r="I90" s="12">
        <f>IF($AE90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-86+0.5)/3.5))))</f>
        <v/>
      </c>
      <c r="J90" s="12">
        <f>IF($AE90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-86+0.5)/3.5))))</f>
        <v/>
      </c>
      <c r="K90" s="13">
        <f>IF($AE90="","",IFERROR(INDEX(Players!$U$2:$U$301,$AE90),""))</f>
        <v/>
      </c>
      <c r="L90" s="13">
        <f>IF($AE90="","",IFERROR(INDEX(Players!$X$2:$X$301,$AE90),""))</f>
        <v/>
      </c>
      <c r="M90" s="14">
        <f>IF($AE90="","",IFERROR(INDEX(Players!$K$2:$K$301,$AE90),""))</f>
        <v/>
      </c>
      <c r="N90" s="14">
        <f>IF($AE90="","",IFERROR(INDEX(Players!$H$2:$H$301,$AE90),""))</f>
        <v/>
      </c>
      <c r="O90" s="15">
        <f>IF($AE90="","",IFERROR(INDEX(Players!$G$2:$G$301,$AE90),""))</f>
        <v/>
      </c>
      <c r="P90" s="14">
        <f>IF($AE90="","",IFERROR(INDEX(Players!$I$2:$I$301,$AE90),""))</f>
        <v/>
      </c>
      <c r="Q90" s="14">
        <f>IF($AE90="","",IFERROR(INDEX(Players!$F$2:$F$301,$AE90),""))</f>
        <v/>
      </c>
      <c r="R90" s="14">
        <f>IF($AE90="","",IFERROR(INDEX(Players!$J$2:$J$301,$AE90),""))</f>
        <v/>
      </c>
      <c r="S90" s="15">
        <f>IF($AE90="","",IFERROR(INDEX(Players!$L$2:$L$301,$AE90),""))</f>
        <v/>
      </c>
      <c r="T90" s="14">
        <f>IF($AE90="","",IFERROR(INDEX(Players!$M$2:$M$301,$AE90),""))</f>
        <v/>
      </c>
      <c r="U90" s="14">
        <f>IF($AE90="","",IFERROR(INDEX(Players!$N$2:$N$301,$AE90),""))</f>
        <v/>
      </c>
      <c r="V90" s="14">
        <f>IF($AE90="","",IFERROR(INDEX(Players!$O$2:$O$301,$AE90),""))</f>
        <v/>
      </c>
      <c r="W90" s="14">
        <f>IF($AE90="","",IFERROR(INDEX(Players!$P$2:$P$301,$AE90),""))</f>
        <v/>
      </c>
      <c r="X90" s="14">
        <f>IF($AE90="","",IFERROR(INDEX(Players!$Q$2:$Q$301,$AE90),""))</f>
        <v/>
      </c>
      <c r="Y90" s="14">
        <f>IF($AE90="","",IFERROR(INDEX(Players!$R$2:$R$301,$AE90),""))</f>
        <v/>
      </c>
      <c r="AE90">
        <f>IFERROR(MATCH(LARGE(Players!$V$2:$V$301,86),Players!$V$2:$V$301,0),"")</f>
        <v/>
      </c>
    </row>
    <row r="91">
      <c r="A91" s="9" t="inlineStr">
        <is>
          <t>8.03</t>
        </is>
      </c>
      <c r="B91" s="18" t="inlineStr">
        <is>
          <t>Team 10</t>
        </is>
      </c>
      <c r="C91" s="19" t="n"/>
      <c r="E91" s="9" t="n">
        <v>87</v>
      </c>
      <c r="F91">
        <f>IF($AE91="","",IFERROR(INDEX(Players!$B$2:$B$301,$AE91),""))</f>
        <v/>
      </c>
      <c r="G91">
        <f>IF($AE91="","",IFERROR(INDEX(Players!$D$2:$D$301,$AE91),""))</f>
        <v/>
      </c>
      <c r="H91">
        <f>IF($AE91="","",IFERROR(INDEX(Players!$C$2:$C$301,$AE91),""))</f>
        <v/>
      </c>
      <c r="I91" s="12">
        <f>IF($AE91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-87+0.5)/3.5))))</f>
        <v/>
      </c>
      <c r="J91" s="12">
        <f>IF($AE91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-87+0.5)/3.5))))</f>
        <v/>
      </c>
      <c r="K91" s="13">
        <f>IF($AE91="","",IFERROR(INDEX(Players!$U$2:$U$301,$AE91),""))</f>
        <v/>
      </c>
      <c r="L91" s="13">
        <f>IF($AE91="","",IFERROR(INDEX(Players!$X$2:$X$301,$AE91),""))</f>
        <v/>
      </c>
      <c r="M91" s="14">
        <f>IF($AE91="","",IFERROR(INDEX(Players!$K$2:$K$301,$AE91),""))</f>
        <v/>
      </c>
      <c r="N91" s="14">
        <f>IF($AE91="","",IFERROR(INDEX(Players!$H$2:$H$301,$AE91),""))</f>
        <v/>
      </c>
      <c r="O91" s="15">
        <f>IF($AE91="","",IFERROR(INDEX(Players!$G$2:$G$301,$AE91),""))</f>
        <v/>
      </c>
      <c r="P91" s="14">
        <f>IF($AE91="","",IFERROR(INDEX(Players!$I$2:$I$301,$AE91),""))</f>
        <v/>
      </c>
      <c r="Q91" s="14">
        <f>IF($AE91="","",IFERROR(INDEX(Players!$F$2:$F$301,$AE91),""))</f>
        <v/>
      </c>
      <c r="R91" s="14">
        <f>IF($AE91="","",IFERROR(INDEX(Players!$J$2:$J$301,$AE91),""))</f>
        <v/>
      </c>
      <c r="S91" s="15">
        <f>IF($AE91="","",IFERROR(INDEX(Players!$L$2:$L$301,$AE91),""))</f>
        <v/>
      </c>
      <c r="T91" s="14">
        <f>IF($AE91="","",IFERROR(INDEX(Players!$M$2:$M$301,$AE91),""))</f>
        <v/>
      </c>
      <c r="U91" s="14">
        <f>IF($AE91="","",IFERROR(INDEX(Players!$N$2:$N$301,$AE91),""))</f>
        <v/>
      </c>
      <c r="V91" s="14">
        <f>IF($AE91="","",IFERROR(INDEX(Players!$O$2:$O$301,$AE91),""))</f>
        <v/>
      </c>
      <c r="W91" s="14">
        <f>IF($AE91="","",IFERROR(INDEX(Players!$P$2:$P$301,$AE91),""))</f>
        <v/>
      </c>
      <c r="X91" s="14">
        <f>IF($AE91="","",IFERROR(INDEX(Players!$Q$2:$Q$301,$AE91),""))</f>
        <v/>
      </c>
      <c r="Y91" s="14">
        <f>IF($AE91="","",IFERROR(INDEX(Players!$R$2:$R$301,$AE91),""))</f>
        <v/>
      </c>
      <c r="AE91">
        <f>IFERROR(MATCH(LARGE(Players!$V$2:$V$301,87),Players!$V$2:$V$301,0),"")</f>
        <v/>
      </c>
    </row>
    <row r="92">
      <c r="A92" s="9" t="inlineStr">
        <is>
          <t>8.04</t>
        </is>
      </c>
      <c r="B92" s="18" t="inlineStr">
        <is>
          <t>Team 9</t>
        </is>
      </c>
      <c r="C92" s="19" t="n"/>
      <c r="E92" s="9" t="n">
        <v>88</v>
      </c>
      <c r="F92">
        <f>IF($AE92="","",IFERROR(INDEX(Players!$B$2:$B$301,$AE92),""))</f>
        <v/>
      </c>
      <c r="G92">
        <f>IF($AE92="","",IFERROR(INDEX(Players!$D$2:$D$301,$AE92),""))</f>
        <v/>
      </c>
      <c r="H92">
        <f>IF($AE92="","",IFERROR(INDEX(Players!$C$2:$C$301,$AE92),""))</f>
        <v/>
      </c>
      <c r="I92" s="12">
        <f>IF($AE92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-88+0.5)/3.5))))</f>
        <v/>
      </c>
      <c r="J92" s="12">
        <f>IF($AE92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-88+0.5)/3.5))))</f>
        <v/>
      </c>
      <c r="K92" s="13">
        <f>IF($AE92="","",IFERROR(INDEX(Players!$U$2:$U$301,$AE92),""))</f>
        <v/>
      </c>
      <c r="L92" s="13">
        <f>IF($AE92="","",IFERROR(INDEX(Players!$X$2:$X$301,$AE92),""))</f>
        <v/>
      </c>
      <c r="M92" s="14">
        <f>IF($AE92="","",IFERROR(INDEX(Players!$K$2:$K$301,$AE92),""))</f>
        <v/>
      </c>
      <c r="N92" s="14">
        <f>IF($AE92="","",IFERROR(INDEX(Players!$H$2:$H$301,$AE92),""))</f>
        <v/>
      </c>
      <c r="O92" s="15">
        <f>IF($AE92="","",IFERROR(INDEX(Players!$G$2:$G$301,$AE92),""))</f>
        <v/>
      </c>
      <c r="P92" s="14">
        <f>IF($AE92="","",IFERROR(INDEX(Players!$I$2:$I$301,$AE92),""))</f>
        <v/>
      </c>
      <c r="Q92" s="14">
        <f>IF($AE92="","",IFERROR(INDEX(Players!$F$2:$F$301,$AE92),""))</f>
        <v/>
      </c>
      <c r="R92" s="14">
        <f>IF($AE92="","",IFERROR(INDEX(Players!$J$2:$J$301,$AE92),""))</f>
        <v/>
      </c>
      <c r="S92" s="15">
        <f>IF($AE92="","",IFERROR(INDEX(Players!$L$2:$L$301,$AE92),""))</f>
        <v/>
      </c>
      <c r="T92" s="14">
        <f>IF($AE92="","",IFERROR(INDEX(Players!$M$2:$M$301,$AE92),""))</f>
        <v/>
      </c>
      <c r="U92" s="14">
        <f>IF($AE92="","",IFERROR(INDEX(Players!$N$2:$N$301,$AE92),""))</f>
        <v/>
      </c>
      <c r="V92" s="14">
        <f>IF($AE92="","",IFERROR(INDEX(Players!$O$2:$O$301,$AE92),""))</f>
        <v/>
      </c>
      <c r="W92" s="14">
        <f>IF($AE92="","",IFERROR(INDEX(Players!$P$2:$P$301,$AE92),""))</f>
        <v/>
      </c>
      <c r="X92" s="14">
        <f>IF($AE92="","",IFERROR(INDEX(Players!$Q$2:$Q$301,$AE92),""))</f>
        <v/>
      </c>
      <c r="Y92" s="14">
        <f>IF($AE92="","",IFERROR(INDEX(Players!$R$2:$R$301,$AE92),""))</f>
        <v/>
      </c>
      <c r="AE92">
        <f>IFERROR(MATCH(LARGE(Players!$V$2:$V$301,88),Players!$V$2:$V$301,0),"")</f>
        <v/>
      </c>
    </row>
    <row r="93">
      <c r="A93" s="9" t="inlineStr">
        <is>
          <t>8.05</t>
        </is>
      </c>
      <c r="B93" s="18" t="inlineStr">
        <is>
          <t>Team 8</t>
        </is>
      </c>
      <c r="C93" s="19" t="n"/>
      <c r="E93" s="9" t="n">
        <v>89</v>
      </c>
      <c r="F93">
        <f>IF($AE93="","",IFERROR(INDEX(Players!$B$2:$B$301,$AE93),""))</f>
        <v/>
      </c>
      <c r="G93">
        <f>IF($AE93="","",IFERROR(INDEX(Players!$D$2:$D$301,$AE93),""))</f>
        <v/>
      </c>
      <c r="H93">
        <f>IF($AE93="","",IFERROR(INDEX(Players!$C$2:$C$301,$AE93),""))</f>
        <v/>
      </c>
      <c r="I93" s="12">
        <f>IF($AE93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-89+0.5)/3.5))))</f>
        <v/>
      </c>
      <c r="J93" s="12">
        <f>IF($AE93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-89+0.5)/3.5))))</f>
        <v/>
      </c>
      <c r="K93" s="13">
        <f>IF($AE93="","",IFERROR(INDEX(Players!$U$2:$U$301,$AE93),""))</f>
        <v/>
      </c>
      <c r="L93" s="13">
        <f>IF($AE93="","",IFERROR(INDEX(Players!$X$2:$X$301,$AE93),""))</f>
        <v/>
      </c>
      <c r="M93" s="14">
        <f>IF($AE93="","",IFERROR(INDEX(Players!$K$2:$K$301,$AE93),""))</f>
        <v/>
      </c>
      <c r="N93" s="14">
        <f>IF($AE93="","",IFERROR(INDEX(Players!$H$2:$H$301,$AE93),""))</f>
        <v/>
      </c>
      <c r="O93" s="15">
        <f>IF($AE93="","",IFERROR(INDEX(Players!$G$2:$G$301,$AE93),""))</f>
        <v/>
      </c>
      <c r="P93" s="14">
        <f>IF($AE93="","",IFERROR(INDEX(Players!$I$2:$I$301,$AE93),""))</f>
        <v/>
      </c>
      <c r="Q93" s="14">
        <f>IF($AE93="","",IFERROR(INDEX(Players!$F$2:$F$301,$AE93),""))</f>
        <v/>
      </c>
      <c r="R93" s="14">
        <f>IF($AE93="","",IFERROR(INDEX(Players!$J$2:$J$301,$AE93),""))</f>
        <v/>
      </c>
      <c r="S93" s="15">
        <f>IF($AE93="","",IFERROR(INDEX(Players!$L$2:$L$301,$AE93),""))</f>
        <v/>
      </c>
      <c r="T93" s="14">
        <f>IF($AE93="","",IFERROR(INDEX(Players!$M$2:$M$301,$AE93),""))</f>
        <v/>
      </c>
      <c r="U93" s="14">
        <f>IF($AE93="","",IFERROR(INDEX(Players!$N$2:$N$301,$AE93),""))</f>
        <v/>
      </c>
      <c r="V93" s="14">
        <f>IF($AE93="","",IFERROR(INDEX(Players!$O$2:$O$301,$AE93),""))</f>
        <v/>
      </c>
      <c r="W93" s="14">
        <f>IF($AE93="","",IFERROR(INDEX(Players!$P$2:$P$301,$AE93),""))</f>
        <v/>
      </c>
      <c r="X93" s="14">
        <f>IF($AE93="","",IFERROR(INDEX(Players!$Q$2:$Q$301,$AE93),""))</f>
        <v/>
      </c>
      <c r="Y93" s="14">
        <f>IF($AE93="","",IFERROR(INDEX(Players!$R$2:$R$301,$AE93),""))</f>
        <v/>
      </c>
      <c r="AE93">
        <f>IFERROR(MATCH(LARGE(Players!$V$2:$V$301,89),Players!$V$2:$V$301,0),"")</f>
        <v/>
      </c>
    </row>
    <row r="94">
      <c r="A94" s="9" t="inlineStr">
        <is>
          <t>8.06</t>
        </is>
      </c>
      <c r="B94" s="18" t="inlineStr">
        <is>
          <t>Team 7</t>
        </is>
      </c>
      <c r="C94" s="19" t="n"/>
      <c r="E94" s="9" t="n">
        <v>90</v>
      </c>
      <c r="F94">
        <f>IF($AE94="","",IFERROR(INDEX(Players!$B$2:$B$301,$AE94),""))</f>
        <v/>
      </c>
      <c r="G94">
        <f>IF($AE94="","",IFERROR(INDEX(Players!$D$2:$D$301,$AE94),""))</f>
        <v/>
      </c>
      <c r="H94">
        <f>IF($AE94="","",IFERROR(INDEX(Players!$C$2:$C$301,$AE94),""))</f>
        <v/>
      </c>
      <c r="I94" s="12">
        <f>IF($AE94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-90+0.5)/3.5))))</f>
        <v/>
      </c>
      <c r="J94" s="12">
        <f>IF($AE94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-90+0.5)/3.5))))</f>
        <v/>
      </c>
      <c r="K94" s="13">
        <f>IF($AE94="","",IFERROR(INDEX(Players!$U$2:$U$301,$AE94),""))</f>
        <v/>
      </c>
      <c r="L94" s="13">
        <f>IF($AE94="","",IFERROR(INDEX(Players!$X$2:$X$301,$AE94),""))</f>
        <v/>
      </c>
      <c r="M94" s="14">
        <f>IF($AE94="","",IFERROR(INDEX(Players!$K$2:$K$301,$AE94),""))</f>
        <v/>
      </c>
      <c r="N94" s="14">
        <f>IF($AE94="","",IFERROR(INDEX(Players!$H$2:$H$301,$AE94),""))</f>
        <v/>
      </c>
      <c r="O94" s="15">
        <f>IF($AE94="","",IFERROR(INDEX(Players!$G$2:$G$301,$AE94),""))</f>
        <v/>
      </c>
      <c r="P94" s="14">
        <f>IF($AE94="","",IFERROR(INDEX(Players!$I$2:$I$301,$AE94),""))</f>
        <v/>
      </c>
      <c r="Q94" s="14">
        <f>IF($AE94="","",IFERROR(INDEX(Players!$F$2:$F$301,$AE94),""))</f>
        <v/>
      </c>
      <c r="R94" s="14">
        <f>IF($AE94="","",IFERROR(INDEX(Players!$J$2:$J$301,$AE94),""))</f>
        <v/>
      </c>
      <c r="S94" s="15">
        <f>IF($AE94="","",IFERROR(INDEX(Players!$L$2:$L$301,$AE94),""))</f>
        <v/>
      </c>
      <c r="T94" s="14">
        <f>IF($AE94="","",IFERROR(INDEX(Players!$M$2:$M$301,$AE94),""))</f>
        <v/>
      </c>
      <c r="U94" s="14">
        <f>IF($AE94="","",IFERROR(INDEX(Players!$N$2:$N$301,$AE94),""))</f>
        <v/>
      </c>
      <c r="V94" s="14">
        <f>IF($AE94="","",IFERROR(INDEX(Players!$O$2:$O$301,$AE94),""))</f>
        <v/>
      </c>
      <c r="W94" s="14">
        <f>IF($AE94="","",IFERROR(INDEX(Players!$P$2:$P$301,$AE94),""))</f>
        <v/>
      </c>
      <c r="X94" s="14">
        <f>IF($AE94="","",IFERROR(INDEX(Players!$Q$2:$Q$301,$AE94),""))</f>
        <v/>
      </c>
      <c r="Y94" s="14">
        <f>IF($AE94="","",IFERROR(INDEX(Players!$R$2:$R$301,$AE94),""))</f>
        <v/>
      </c>
      <c r="AE94">
        <f>IFERROR(MATCH(LARGE(Players!$V$2:$V$301,90),Players!$V$2:$V$301,0),"")</f>
        <v/>
      </c>
    </row>
    <row r="95">
      <c r="A95" s="9" t="inlineStr">
        <is>
          <t>8.07</t>
        </is>
      </c>
      <c r="B95" s="18" t="inlineStr">
        <is>
          <t>Team 6</t>
        </is>
      </c>
      <c r="C95" s="19" t="n"/>
      <c r="E95" s="9" t="n">
        <v>91</v>
      </c>
      <c r="F95">
        <f>IF($AE95="","",IFERROR(INDEX(Players!$B$2:$B$301,$AE95),""))</f>
        <v/>
      </c>
      <c r="G95">
        <f>IF($AE95="","",IFERROR(INDEX(Players!$D$2:$D$301,$AE95),""))</f>
        <v/>
      </c>
      <c r="H95">
        <f>IF($AE95="","",IFERROR(INDEX(Players!$C$2:$C$301,$AE95),""))</f>
        <v/>
      </c>
      <c r="I95" s="12">
        <f>IF($AE95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-91+0.5)/3.5))))</f>
        <v/>
      </c>
      <c r="J95" s="12">
        <f>IF($AE95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-91+0.5)/3.5))))</f>
        <v/>
      </c>
      <c r="K95" s="13">
        <f>IF($AE95="","",IFERROR(INDEX(Players!$U$2:$U$301,$AE95),""))</f>
        <v/>
      </c>
      <c r="L95" s="13">
        <f>IF($AE95="","",IFERROR(INDEX(Players!$X$2:$X$301,$AE95),""))</f>
        <v/>
      </c>
      <c r="M95" s="14">
        <f>IF($AE95="","",IFERROR(INDEX(Players!$K$2:$K$301,$AE95),""))</f>
        <v/>
      </c>
      <c r="N95" s="14">
        <f>IF($AE95="","",IFERROR(INDEX(Players!$H$2:$H$301,$AE95),""))</f>
        <v/>
      </c>
      <c r="O95" s="15">
        <f>IF($AE95="","",IFERROR(INDEX(Players!$G$2:$G$301,$AE95),""))</f>
        <v/>
      </c>
      <c r="P95" s="14">
        <f>IF($AE95="","",IFERROR(INDEX(Players!$I$2:$I$301,$AE95),""))</f>
        <v/>
      </c>
      <c r="Q95" s="14">
        <f>IF($AE95="","",IFERROR(INDEX(Players!$F$2:$F$301,$AE95),""))</f>
        <v/>
      </c>
      <c r="R95" s="14">
        <f>IF($AE95="","",IFERROR(INDEX(Players!$J$2:$J$301,$AE95),""))</f>
        <v/>
      </c>
      <c r="S95" s="15">
        <f>IF($AE95="","",IFERROR(INDEX(Players!$L$2:$L$301,$AE95),""))</f>
        <v/>
      </c>
      <c r="T95" s="14">
        <f>IF($AE95="","",IFERROR(INDEX(Players!$M$2:$M$301,$AE95),""))</f>
        <v/>
      </c>
      <c r="U95" s="14">
        <f>IF($AE95="","",IFERROR(INDEX(Players!$N$2:$N$301,$AE95),""))</f>
        <v/>
      </c>
      <c r="V95" s="14">
        <f>IF($AE95="","",IFERROR(INDEX(Players!$O$2:$O$301,$AE95),""))</f>
        <v/>
      </c>
      <c r="W95" s="14">
        <f>IF($AE95="","",IFERROR(INDEX(Players!$P$2:$P$301,$AE95),""))</f>
        <v/>
      </c>
      <c r="X95" s="14">
        <f>IF($AE95="","",IFERROR(INDEX(Players!$Q$2:$Q$301,$AE95),""))</f>
        <v/>
      </c>
      <c r="Y95" s="14">
        <f>IF($AE95="","",IFERROR(INDEX(Players!$R$2:$R$301,$AE95),""))</f>
        <v/>
      </c>
      <c r="AE95">
        <f>IFERROR(MATCH(LARGE(Players!$V$2:$V$301,91),Players!$V$2:$V$301,0),"")</f>
        <v/>
      </c>
    </row>
    <row r="96">
      <c r="A96" s="9" t="inlineStr">
        <is>
          <t>8.08</t>
        </is>
      </c>
      <c r="B96" s="18" t="inlineStr">
        <is>
          <t>Team 5</t>
        </is>
      </c>
      <c r="C96" s="19" t="n"/>
      <c r="E96" s="9" t="n">
        <v>92</v>
      </c>
      <c r="F96">
        <f>IF($AE96="","",IFERROR(INDEX(Players!$B$2:$B$301,$AE96),""))</f>
        <v/>
      </c>
      <c r="G96">
        <f>IF($AE96="","",IFERROR(INDEX(Players!$D$2:$D$301,$AE96),""))</f>
        <v/>
      </c>
      <c r="H96">
        <f>IF($AE96="","",IFERROR(INDEX(Players!$C$2:$C$301,$AE96),""))</f>
        <v/>
      </c>
      <c r="I96" s="12">
        <f>IF($AE96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-92+0.5)/3.5))))</f>
        <v/>
      </c>
      <c r="J96" s="12">
        <f>IF($AE96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-92+0.5)/3.5))))</f>
        <v/>
      </c>
      <c r="K96" s="13">
        <f>IF($AE96="","",IFERROR(INDEX(Players!$U$2:$U$301,$AE96),""))</f>
        <v/>
      </c>
      <c r="L96" s="13">
        <f>IF($AE96="","",IFERROR(INDEX(Players!$X$2:$X$301,$AE96),""))</f>
        <v/>
      </c>
      <c r="M96" s="14">
        <f>IF($AE96="","",IFERROR(INDEX(Players!$K$2:$K$301,$AE96),""))</f>
        <v/>
      </c>
      <c r="N96" s="14">
        <f>IF($AE96="","",IFERROR(INDEX(Players!$H$2:$H$301,$AE96),""))</f>
        <v/>
      </c>
      <c r="O96" s="15">
        <f>IF($AE96="","",IFERROR(INDEX(Players!$G$2:$G$301,$AE96),""))</f>
        <v/>
      </c>
      <c r="P96" s="14">
        <f>IF($AE96="","",IFERROR(INDEX(Players!$I$2:$I$301,$AE96),""))</f>
        <v/>
      </c>
      <c r="Q96" s="14">
        <f>IF($AE96="","",IFERROR(INDEX(Players!$F$2:$F$301,$AE96),""))</f>
        <v/>
      </c>
      <c r="R96" s="14">
        <f>IF($AE96="","",IFERROR(INDEX(Players!$J$2:$J$301,$AE96),""))</f>
        <v/>
      </c>
      <c r="S96" s="15">
        <f>IF($AE96="","",IFERROR(INDEX(Players!$L$2:$L$301,$AE96),""))</f>
        <v/>
      </c>
      <c r="T96" s="14">
        <f>IF($AE96="","",IFERROR(INDEX(Players!$M$2:$M$301,$AE96),""))</f>
        <v/>
      </c>
      <c r="U96" s="14">
        <f>IF($AE96="","",IFERROR(INDEX(Players!$N$2:$N$301,$AE96),""))</f>
        <v/>
      </c>
      <c r="V96" s="14">
        <f>IF($AE96="","",IFERROR(INDEX(Players!$O$2:$O$301,$AE96),""))</f>
        <v/>
      </c>
      <c r="W96" s="14">
        <f>IF($AE96="","",IFERROR(INDEX(Players!$P$2:$P$301,$AE96),""))</f>
        <v/>
      </c>
      <c r="X96" s="14">
        <f>IF($AE96="","",IFERROR(INDEX(Players!$Q$2:$Q$301,$AE96),""))</f>
        <v/>
      </c>
      <c r="Y96" s="14">
        <f>IF($AE96="","",IFERROR(INDEX(Players!$R$2:$R$301,$AE96),""))</f>
        <v/>
      </c>
      <c r="AE96">
        <f>IFERROR(MATCH(LARGE(Players!$V$2:$V$301,92),Players!$V$2:$V$301,0),"")</f>
        <v/>
      </c>
    </row>
    <row r="97">
      <c r="A97" s="9" t="inlineStr">
        <is>
          <t>8.09</t>
        </is>
      </c>
      <c r="B97" s="18" t="inlineStr">
        <is>
          <t>Team 4</t>
        </is>
      </c>
      <c r="C97" s="19" t="n"/>
      <c r="E97" s="9" t="n">
        <v>93</v>
      </c>
      <c r="F97">
        <f>IF($AE97="","",IFERROR(INDEX(Players!$B$2:$B$301,$AE97),""))</f>
        <v/>
      </c>
      <c r="G97">
        <f>IF($AE97="","",IFERROR(INDEX(Players!$D$2:$D$301,$AE97),""))</f>
        <v/>
      </c>
      <c r="H97">
        <f>IF($AE97="","",IFERROR(INDEX(Players!$C$2:$C$301,$AE97),""))</f>
        <v/>
      </c>
      <c r="I97" s="12">
        <f>IF($AE97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-93+0.5)/3.5))))</f>
        <v/>
      </c>
      <c r="J97" s="12">
        <f>IF($AE97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-93+0.5)/3.5))))</f>
        <v/>
      </c>
      <c r="K97" s="13">
        <f>IF($AE97="","",IFERROR(INDEX(Players!$U$2:$U$301,$AE97),""))</f>
        <v/>
      </c>
      <c r="L97" s="13">
        <f>IF($AE97="","",IFERROR(INDEX(Players!$X$2:$X$301,$AE97),""))</f>
        <v/>
      </c>
      <c r="M97" s="14">
        <f>IF($AE97="","",IFERROR(INDEX(Players!$K$2:$K$301,$AE97),""))</f>
        <v/>
      </c>
      <c r="N97" s="14">
        <f>IF($AE97="","",IFERROR(INDEX(Players!$H$2:$H$301,$AE97),""))</f>
        <v/>
      </c>
      <c r="O97" s="15">
        <f>IF($AE97="","",IFERROR(INDEX(Players!$G$2:$G$301,$AE97),""))</f>
        <v/>
      </c>
      <c r="P97" s="14">
        <f>IF($AE97="","",IFERROR(INDEX(Players!$I$2:$I$301,$AE97),""))</f>
        <v/>
      </c>
      <c r="Q97" s="14">
        <f>IF($AE97="","",IFERROR(INDEX(Players!$F$2:$F$301,$AE97),""))</f>
        <v/>
      </c>
      <c r="R97" s="14">
        <f>IF($AE97="","",IFERROR(INDEX(Players!$J$2:$J$301,$AE97),""))</f>
        <v/>
      </c>
      <c r="S97" s="15">
        <f>IF($AE97="","",IFERROR(INDEX(Players!$L$2:$L$301,$AE97),""))</f>
        <v/>
      </c>
      <c r="T97" s="14">
        <f>IF($AE97="","",IFERROR(INDEX(Players!$M$2:$M$301,$AE97),""))</f>
        <v/>
      </c>
      <c r="U97" s="14">
        <f>IF($AE97="","",IFERROR(INDEX(Players!$N$2:$N$301,$AE97),""))</f>
        <v/>
      </c>
      <c r="V97" s="14">
        <f>IF($AE97="","",IFERROR(INDEX(Players!$O$2:$O$301,$AE97),""))</f>
        <v/>
      </c>
      <c r="W97" s="14">
        <f>IF($AE97="","",IFERROR(INDEX(Players!$P$2:$P$301,$AE97),""))</f>
        <v/>
      </c>
      <c r="X97" s="14">
        <f>IF($AE97="","",IFERROR(INDEX(Players!$Q$2:$Q$301,$AE97),""))</f>
        <v/>
      </c>
      <c r="Y97" s="14">
        <f>IF($AE97="","",IFERROR(INDEX(Players!$R$2:$R$301,$AE97),""))</f>
        <v/>
      </c>
      <c r="AE97">
        <f>IFERROR(MATCH(LARGE(Players!$V$2:$V$301,93),Players!$V$2:$V$301,0),"")</f>
        <v/>
      </c>
    </row>
    <row r="98">
      <c r="A98" s="9" t="inlineStr">
        <is>
          <t>8.10</t>
        </is>
      </c>
      <c r="B98" s="18" t="inlineStr">
        <is>
          <t>Team 3</t>
        </is>
      </c>
      <c r="C98" s="19" t="n"/>
      <c r="E98" s="9" t="n">
        <v>94</v>
      </c>
      <c r="F98">
        <f>IF($AE98="","",IFERROR(INDEX(Players!$B$2:$B$301,$AE98),""))</f>
        <v/>
      </c>
      <c r="G98">
        <f>IF($AE98="","",IFERROR(INDEX(Players!$D$2:$D$301,$AE98),""))</f>
        <v/>
      </c>
      <c r="H98">
        <f>IF($AE98="","",IFERROR(INDEX(Players!$C$2:$C$301,$AE98),""))</f>
        <v/>
      </c>
      <c r="I98" s="12">
        <f>IF($AE98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-94+0.5)/3.5))))</f>
        <v/>
      </c>
      <c r="J98" s="12">
        <f>IF($AE98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-94+0.5)/3.5))))</f>
        <v/>
      </c>
      <c r="K98" s="13">
        <f>IF($AE98="","",IFERROR(INDEX(Players!$U$2:$U$301,$AE98),""))</f>
        <v/>
      </c>
      <c r="L98" s="13">
        <f>IF($AE98="","",IFERROR(INDEX(Players!$X$2:$X$301,$AE98),""))</f>
        <v/>
      </c>
      <c r="M98" s="14">
        <f>IF($AE98="","",IFERROR(INDEX(Players!$K$2:$K$301,$AE98),""))</f>
        <v/>
      </c>
      <c r="N98" s="14">
        <f>IF($AE98="","",IFERROR(INDEX(Players!$H$2:$H$301,$AE98),""))</f>
        <v/>
      </c>
      <c r="O98" s="15">
        <f>IF($AE98="","",IFERROR(INDEX(Players!$G$2:$G$301,$AE98),""))</f>
        <v/>
      </c>
      <c r="P98" s="14">
        <f>IF($AE98="","",IFERROR(INDEX(Players!$I$2:$I$301,$AE98),""))</f>
        <v/>
      </c>
      <c r="Q98" s="14">
        <f>IF($AE98="","",IFERROR(INDEX(Players!$F$2:$F$301,$AE98),""))</f>
        <v/>
      </c>
      <c r="R98" s="14">
        <f>IF($AE98="","",IFERROR(INDEX(Players!$J$2:$J$301,$AE98),""))</f>
        <v/>
      </c>
      <c r="S98" s="15">
        <f>IF($AE98="","",IFERROR(INDEX(Players!$L$2:$L$301,$AE98),""))</f>
        <v/>
      </c>
      <c r="T98" s="14">
        <f>IF($AE98="","",IFERROR(INDEX(Players!$M$2:$M$301,$AE98),""))</f>
        <v/>
      </c>
      <c r="U98" s="14">
        <f>IF($AE98="","",IFERROR(INDEX(Players!$N$2:$N$301,$AE98),""))</f>
        <v/>
      </c>
      <c r="V98" s="14">
        <f>IF($AE98="","",IFERROR(INDEX(Players!$O$2:$O$301,$AE98),""))</f>
        <v/>
      </c>
      <c r="W98" s="14">
        <f>IF($AE98="","",IFERROR(INDEX(Players!$P$2:$P$301,$AE98),""))</f>
        <v/>
      </c>
      <c r="X98" s="14">
        <f>IF($AE98="","",IFERROR(INDEX(Players!$Q$2:$Q$301,$AE98),""))</f>
        <v/>
      </c>
      <c r="Y98" s="14">
        <f>IF($AE98="","",IFERROR(INDEX(Players!$R$2:$R$301,$AE98),""))</f>
        <v/>
      </c>
      <c r="AE98">
        <f>IFERROR(MATCH(LARGE(Players!$V$2:$V$301,94),Players!$V$2:$V$301,0),"")</f>
        <v/>
      </c>
    </row>
    <row r="99">
      <c r="A99" s="9" t="inlineStr">
        <is>
          <t>8.11</t>
        </is>
      </c>
      <c r="B99" s="18" t="inlineStr">
        <is>
          <t>Team 2</t>
        </is>
      </c>
      <c r="C99" s="19" t="n"/>
      <c r="E99" s="9" t="n">
        <v>95</v>
      </c>
      <c r="F99">
        <f>IF($AE99="","",IFERROR(INDEX(Players!$B$2:$B$301,$AE99),""))</f>
        <v/>
      </c>
      <c r="G99">
        <f>IF($AE99="","",IFERROR(INDEX(Players!$D$2:$D$301,$AE99),""))</f>
        <v/>
      </c>
      <c r="H99">
        <f>IF($AE99="","",IFERROR(INDEX(Players!$C$2:$C$301,$AE99),""))</f>
        <v/>
      </c>
      <c r="I99" s="12">
        <f>IF($AE99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-95+0.5)/3.5))))</f>
        <v/>
      </c>
      <c r="J99" s="12">
        <f>IF($AE99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-95+0.5)/3.5))))</f>
        <v/>
      </c>
      <c r="K99" s="13">
        <f>IF($AE99="","",IFERROR(INDEX(Players!$U$2:$U$301,$AE99),""))</f>
        <v/>
      </c>
      <c r="L99" s="13">
        <f>IF($AE99="","",IFERROR(INDEX(Players!$X$2:$X$301,$AE99),""))</f>
        <v/>
      </c>
      <c r="M99" s="14">
        <f>IF($AE99="","",IFERROR(INDEX(Players!$K$2:$K$301,$AE99),""))</f>
        <v/>
      </c>
      <c r="N99" s="14">
        <f>IF($AE99="","",IFERROR(INDEX(Players!$H$2:$H$301,$AE99),""))</f>
        <v/>
      </c>
      <c r="O99" s="15">
        <f>IF($AE99="","",IFERROR(INDEX(Players!$G$2:$G$301,$AE99),""))</f>
        <v/>
      </c>
      <c r="P99" s="14">
        <f>IF($AE99="","",IFERROR(INDEX(Players!$I$2:$I$301,$AE99),""))</f>
        <v/>
      </c>
      <c r="Q99" s="14">
        <f>IF($AE99="","",IFERROR(INDEX(Players!$F$2:$F$301,$AE99),""))</f>
        <v/>
      </c>
      <c r="R99" s="14">
        <f>IF($AE99="","",IFERROR(INDEX(Players!$J$2:$J$301,$AE99),""))</f>
        <v/>
      </c>
      <c r="S99" s="15">
        <f>IF($AE99="","",IFERROR(INDEX(Players!$L$2:$L$301,$AE99),""))</f>
        <v/>
      </c>
      <c r="T99" s="14">
        <f>IF($AE99="","",IFERROR(INDEX(Players!$M$2:$M$301,$AE99),""))</f>
        <v/>
      </c>
      <c r="U99" s="14">
        <f>IF($AE99="","",IFERROR(INDEX(Players!$N$2:$N$301,$AE99),""))</f>
        <v/>
      </c>
      <c r="V99" s="14">
        <f>IF($AE99="","",IFERROR(INDEX(Players!$O$2:$O$301,$AE99),""))</f>
        <v/>
      </c>
      <c r="W99" s="14">
        <f>IF($AE99="","",IFERROR(INDEX(Players!$P$2:$P$301,$AE99),""))</f>
        <v/>
      </c>
      <c r="X99" s="14">
        <f>IF($AE99="","",IFERROR(INDEX(Players!$Q$2:$Q$301,$AE99),""))</f>
        <v/>
      </c>
      <c r="Y99" s="14">
        <f>IF($AE99="","",IFERROR(INDEX(Players!$R$2:$R$301,$AE99),""))</f>
        <v/>
      </c>
      <c r="AE99">
        <f>IFERROR(MATCH(LARGE(Players!$V$2:$V$301,95),Players!$V$2:$V$301,0),"")</f>
        <v/>
      </c>
    </row>
    <row r="100">
      <c r="A100" s="9" t="inlineStr">
        <is>
          <t>8.12</t>
        </is>
      </c>
      <c r="B100" s="10" t="inlineStr">
        <is>
          <t>Team 1</t>
        </is>
      </c>
      <c r="C100" s="11" t="n"/>
      <c r="E100" s="9" t="n">
        <v>96</v>
      </c>
      <c r="F100">
        <f>IF($AE100="","",IFERROR(INDEX(Players!$B$2:$B$301,$AE100),""))</f>
        <v/>
      </c>
      <c r="G100">
        <f>IF($AE100="","",IFERROR(INDEX(Players!$D$2:$D$301,$AE100),""))</f>
        <v/>
      </c>
      <c r="H100">
        <f>IF($AE100="","",IFERROR(INDEX(Players!$C$2:$C$301,$AE100),""))</f>
        <v/>
      </c>
      <c r="I100" s="12">
        <f>IF($AE100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-96+0.5)/3.5))))</f>
        <v/>
      </c>
      <c r="J100" s="12">
        <f>IF($AE100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-96+0.5)/3.5))))</f>
        <v/>
      </c>
      <c r="K100" s="13">
        <f>IF($AE100="","",IFERROR(INDEX(Players!$U$2:$U$301,$AE100),""))</f>
        <v/>
      </c>
      <c r="L100" s="13">
        <f>IF($AE100="","",IFERROR(INDEX(Players!$X$2:$X$301,$AE100),""))</f>
        <v/>
      </c>
      <c r="M100" s="14">
        <f>IF($AE100="","",IFERROR(INDEX(Players!$K$2:$K$301,$AE100),""))</f>
        <v/>
      </c>
      <c r="N100" s="14">
        <f>IF($AE100="","",IFERROR(INDEX(Players!$H$2:$H$301,$AE100),""))</f>
        <v/>
      </c>
      <c r="O100" s="15">
        <f>IF($AE100="","",IFERROR(INDEX(Players!$G$2:$G$301,$AE100),""))</f>
        <v/>
      </c>
      <c r="P100" s="14">
        <f>IF($AE100="","",IFERROR(INDEX(Players!$I$2:$I$301,$AE100),""))</f>
        <v/>
      </c>
      <c r="Q100" s="14">
        <f>IF($AE100="","",IFERROR(INDEX(Players!$F$2:$F$301,$AE100),""))</f>
        <v/>
      </c>
      <c r="R100" s="14">
        <f>IF($AE100="","",IFERROR(INDEX(Players!$J$2:$J$301,$AE100),""))</f>
        <v/>
      </c>
      <c r="S100" s="15">
        <f>IF($AE100="","",IFERROR(INDEX(Players!$L$2:$L$301,$AE100),""))</f>
        <v/>
      </c>
      <c r="T100" s="14">
        <f>IF($AE100="","",IFERROR(INDEX(Players!$M$2:$M$301,$AE100),""))</f>
        <v/>
      </c>
      <c r="U100" s="14">
        <f>IF($AE100="","",IFERROR(INDEX(Players!$N$2:$N$301,$AE100),""))</f>
        <v/>
      </c>
      <c r="V100" s="14">
        <f>IF($AE100="","",IFERROR(INDEX(Players!$O$2:$O$301,$AE100),""))</f>
        <v/>
      </c>
      <c r="W100" s="14">
        <f>IF($AE100="","",IFERROR(INDEX(Players!$P$2:$P$301,$AE100),""))</f>
        <v/>
      </c>
      <c r="X100" s="14">
        <f>IF($AE100="","",IFERROR(INDEX(Players!$Q$2:$Q$301,$AE100),""))</f>
        <v/>
      </c>
      <c r="Y100" s="14">
        <f>IF($AE100="","",IFERROR(INDEX(Players!$R$2:$R$301,$AE100),""))</f>
        <v/>
      </c>
      <c r="AE100">
        <f>IFERROR(MATCH(LARGE(Players!$V$2:$V$301,96),Players!$V$2:$V$301,0),"")</f>
        <v/>
      </c>
    </row>
    <row r="101">
      <c r="A101" s="9" t="inlineStr">
        <is>
          <t>9.01</t>
        </is>
      </c>
      <c r="B101" s="10" t="inlineStr">
        <is>
          <t>Team 1</t>
        </is>
      </c>
      <c r="C101" s="11" t="n"/>
      <c r="E101" s="9" t="n">
        <v>97</v>
      </c>
      <c r="F101">
        <f>IF($AE101="","",IFERROR(INDEX(Players!$B$2:$B$301,$AE101),""))</f>
        <v/>
      </c>
      <c r="G101">
        <f>IF($AE101="","",IFERROR(INDEX(Players!$D$2:$D$301,$AE101),""))</f>
        <v/>
      </c>
      <c r="H101">
        <f>IF($AE101="","",IFERROR(INDEX(Players!$C$2:$C$301,$AE101),""))</f>
        <v/>
      </c>
      <c r="I101" s="12">
        <f>IF($AE101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-97+0.5)/3.5))))</f>
        <v/>
      </c>
      <c r="J101" s="12">
        <f>IF($AE101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-97+0.5)/3.5))))</f>
        <v/>
      </c>
      <c r="K101" s="13">
        <f>IF($AE101="","",IFERROR(INDEX(Players!$U$2:$U$301,$AE101),""))</f>
        <v/>
      </c>
      <c r="L101" s="13">
        <f>IF($AE101="","",IFERROR(INDEX(Players!$X$2:$X$301,$AE101),""))</f>
        <v/>
      </c>
      <c r="M101" s="14">
        <f>IF($AE101="","",IFERROR(INDEX(Players!$K$2:$K$301,$AE101),""))</f>
        <v/>
      </c>
      <c r="N101" s="14">
        <f>IF($AE101="","",IFERROR(INDEX(Players!$H$2:$H$301,$AE101),""))</f>
        <v/>
      </c>
      <c r="O101" s="15">
        <f>IF($AE101="","",IFERROR(INDEX(Players!$G$2:$G$301,$AE101),""))</f>
        <v/>
      </c>
      <c r="P101" s="14">
        <f>IF($AE101="","",IFERROR(INDEX(Players!$I$2:$I$301,$AE101),""))</f>
        <v/>
      </c>
      <c r="Q101" s="14">
        <f>IF($AE101="","",IFERROR(INDEX(Players!$F$2:$F$301,$AE101),""))</f>
        <v/>
      </c>
      <c r="R101" s="14">
        <f>IF($AE101="","",IFERROR(INDEX(Players!$J$2:$J$301,$AE101),""))</f>
        <v/>
      </c>
      <c r="S101" s="15">
        <f>IF($AE101="","",IFERROR(INDEX(Players!$L$2:$L$301,$AE101),""))</f>
        <v/>
      </c>
      <c r="T101" s="14">
        <f>IF($AE101="","",IFERROR(INDEX(Players!$M$2:$M$301,$AE101),""))</f>
        <v/>
      </c>
      <c r="U101" s="14">
        <f>IF($AE101="","",IFERROR(INDEX(Players!$N$2:$N$301,$AE101),""))</f>
        <v/>
      </c>
      <c r="V101" s="14">
        <f>IF($AE101="","",IFERROR(INDEX(Players!$O$2:$O$301,$AE101),""))</f>
        <v/>
      </c>
      <c r="W101" s="14">
        <f>IF($AE101="","",IFERROR(INDEX(Players!$P$2:$P$301,$AE101),""))</f>
        <v/>
      </c>
      <c r="X101" s="14">
        <f>IF($AE101="","",IFERROR(INDEX(Players!$Q$2:$Q$301,$AE101),""))</f>
        <v/>
      </c>
      <c r="Y101" s="14">
        <f>IF($AE101="","",IFERROR(INDEX(Players!$R$2:$R$301,$AE101),""))</f>
        <v/>
      </c>
      <c r="AE101">
        <f>IFERROR(MATCH(LARGE(Players!$V$2:$V$301,97),Players!$V$2:$V$301,0),"")</f>
        <v/>
      </c>
    </row>
    <row r="102">
      <c r="A102" s="9" t="inlineStr">
        <is>
          <t>9.02</t>
        </is>
      </c>
      <c r="B102" s="18" t="inlineStr">
        <is>
          <t>Team 2</t>
        </is>
      </c>
      <c r="C102" s="19" t="n"/>
      <c r="E102" s="9" t="n">
        <v>98</v>
      </c>
      <c r="F102">
        <f>IF($AE102="","",IFERROR(INDEX(Players!$B$2:$B$301,$AE102),""))</f>
        <v/>
      </c>
      <c r="G102">
        <f>IF($AE102="","",IFERROR(INDEX(Players!$D$2:$D$301,$AE102),""))</f>
        <v/>
      </c>
      <c r="H102">
        <f>IF($AE102="","",IFERROR(INDEX(Players!$C$2:$C$301,$AE102),""))</f>
        <v/>
      </c>
      <c r="I102" s="12">
        <f>IF($AE102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-98+0.5)/3.5))))</f>
        <v/>
      </c>
      <c r="J102" s="12">
        <f>IF($AE102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-98+0.5)/3.5))))</f>
        <v/>
      </c>
      <c r="K102" s="13">
        <f>IF($AE102="","",IFERROR(INDEX(Players!$U$2:$U$301,$AE102),""))</f>
        <v/>
      </c>
      <c r="L102" s="13">
        <f>IF($AE102="","",IFERROR(INDEX(Players!$X$2:$X$301,$AE102),""))</f>
        <v/>
      </c>
      <c r="M102" s="14">
        <f>IF($AE102="","",IFERROR(INDEX(Players!$K$2:$K$301,$AE102),""))</f>
        <v/>
      </c>
      <c r="N102" s="14">
        <f>IF($AE102="","",IFERROR(INDEX(Players!$H$2:$H$301,$AE102),""))</f>
        <v/>
      </c>
      <c r="O102" s="15">
        <f>IF($AE102="","",IFERROR(INDEX(Players!$G$2:$G$301,$AE102),""))</f>
        <v/>
      </c>
      <c r="P102" s="14">
        <f>IF($AE102="","",IFERROR(INDEX(Players!$I$2:$I$301,$AE102),""))</f>
        <v/>
      </c>
      <c r="Q102" s="14">
        <f>IF($AE102="","",IFERROR(INDEX(Players!$F$2:$F$301,$AE102),""))</f>
        <v/>
      </c>
      <c r="R102" s="14">
        <f>IF($AE102="","",IFERROR(INDEX(Players!$J$2:$J$301,$AE102),""))</f>
        <v/>
      </c>
      <c r="S102" s="15">
        <f>IF($AE102="","",IFERROR(INDEX(Players!$L$2:$L$301,$AE102),""))</f>
        <v/>
      </c>
      <c r="T102" s="14">
        <f>IF($AE102="","",IFERROR(INDEX(Players!$M$2:$M$301,$AE102),""))</f>
        <v/>
      </c>
      <c r="U102" s="14">
        <f>IF($AE102="","",IFERROR(INDEX(Players!$N$2:$N$301,$AE102),""))</f>
        <v/>
      </c>
      <c r="V102" s="14">
        <f>IF($AE102="","",IFERROR(INDEX(Players!$O$2:$O$301,$AE102),""))</f>
        <v/>
      </c>
      <c r="W102" s="14">
        <f>IF($AE102="","",IFERROR(INDEX(Players!$P$2:$P$301,$AE102),""))</f>
        <v/>
      </c>
      <c r="X102" s="14">
        <f>IF($AE102="","",IFERROR(INDEX(Players!$Q$2:$Q$301,$AE102),""))</f>
        <v/>
      </c>
      <c r="Y102" s="14">
        <f>IF($AE102="","",IFERROR(INDEX(Players!$R$2:$R$301,$AE102),""))</f>
        <v/>
      </c>
      <c r="AE102">
        <f>IFERROR(MATCH(LARGE(Players!$V$2:$V$301,98),Players!$V$2:$V$301,0),"")</f>
        <v/>
      </c>
    </row>
    <row r="103">
      <c r="A103" s="9" t="inlineStr">
        <is>
          <t>9.03</t>
        </is>
      </c>
      <c r="B103" s="18" t="inlineStr">
        <is>
          <t>Team 3</t>
        </is>
      </c>
      <c r="C103" s="19" t="n"/>
      <c r="E103" s="9" t="n">
        <v>99</v>
      </c>
      <c r="F103">
        <f>IF($AE103="","",IFERROR(INDEX(Players!$B$2:$B$301,$AE103),""))</f>
        <v/>
      </c>
      <c r="G103">
        <f>IF($AE103="","",IFERROR(INDEX(Players!$D$2:$D$301,$AE103),""))</f>
        <v/>
      </c>
      <c r="H103">
        <f>IF($AE103="","",IFERROR(INDEX(Players!$C$2:$C$301,$AE103),""))</f>
        <v/>
      </c>
      <c r="I103" s="12">
        <f>IF($AE103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-99+0.5)/3.5))))</f>
        <v/>
      </c>
      <c r="J103" s="12">
        <f>IF($AE103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-99+0.5)/3.5))))</f>
        <v/>
      </c>
      <c r="K103" s="13">
        <f>IF($AE103="","",IFERROR(INDEX(Players!$U$2:$U$301,$AE103),""))</f>
        <v/>
      </c>
      <c r="L103" s="13">
        <f>IF($AE103="","",IFERROR(INDEX(Players!$X$2:$X$301,$AE103),""))</f>
        <v/>
      </c>
      <c r="M103" s="14">
        <f>IF($AE103="","",IFERROR(INDEX(Players!$K$2:$K$301,$AE103),""))</f>
        <v/>
      </c>
      <c r="N103" s="14">
        <f>IF($AE103="","",IFERROR(INDEX(Players!$H$2:$H$301,$AE103),""))</f>
        <v/>
      </c>
      <c r="O103" s="15">
        <f>IF($AE103="","",IFERROR(INDEX(Players!$G$2:$G$301,$AE103),""))</f>
        <v/>
      </c>
      <c r="P103" s="14">
        <f>IF($AE103="","",IFERROR(INDEX(Players!$I$2:$I$301,$AE103),""))</f>
        <v/>
      </c>
      <c r="Q103" s="14">
        <f>IF($AE103="","",IFERROR(INDEX(Players!$F$2:$F$301,$AE103),""))</f>
        <v/>
      </c>
      <c r="R103" s="14">
        <f>IF($AE103="","",IFERROR(INDEX(Players!$J$2:$J$301,$AE103),""))</f>
        <v/>
      </c>
      <c r="S103" s="15">
        <f>IF($AE103="","",IFERROR(INDEX(Players!$L$2:$L$301,$AE103),""))</f>
        <v/>
      </c>
      <c r="T103" s="14">
        <f>IF($AE103="","",IFERROR(INDEX(Players!$M$2:$M$301,$AE103),""))</f>
        <v/>
      </c>
      <c r="U103" s="14">
        <f>IF($AE103="","",IFERROR(INDEX(Players!$N$2:$N$301,$AE103),""))</f>
        <v/>
      </c>
      <c r="V103" s="14">
        <f>IF($AE103="","",IFERROR(INDEX(Players!$O$2:$O$301,$AE103),""))</f>
        <v/>
      </c>
      <c r="W103" s="14">
        <f>IF($AE103="","",IFERROR(INDEX(Players!$P$2:$P$301,$AE103),""))</f>
        <v/>
      </c>
      <c r="X103" s="14">
        <f>IF($AE103="","",IFERROR(INDEX(Players!$Q$2:$Q$301,$AE103),""))</f>
        <v/>
      </c>
      <c r="Y103" s="14">
        <f>IF($AE103="","",IFERROR(INDEX(Players!$R$2:$R$301,$AE103),""))</f>
        <v/>
      </c>
      <c r="AE103">
        <f>IFERROR(MATCH(LARGE(Players!$V$2:$V$301,99),Players!$V$2:$V$301,0),"")</f>
        <v/>
      </c>
    </row>
    <row r="104">
      <c r="A104" s="9" t="inlineStr">
        <is>
          <t>9.04</t>
        </is>
      </c>
      <c r="B104" s="18" t="inlineStr">
        <is>
          <t>Team 4</t>
        </is>
      </c>
      <c r="C104" s="19" t="n"/>
      <c r="E104" s="9" t="n">
        <v>100</v>
      </c>
      <c r="F104">
        <f>IF($AE104="","",IFERROR(INDEX(Players!$B$2:$B$301,$AE104),""))</f>
        <v/>
      </c>
      <c r="G104">
        <f>IF($AE104="","",IFERROR(INDEX(Players!$D$2:$D$301,$AE104),""))</f>
        <v/>
      </c>
      <c r="H104">
        <f>IF($AE104="","",IFERROR(INDEX(Players!$C$2:$C$301,$AE104),""))</f>
        <v/>
      </c>
      <c r="I104" s="12">
        <f>IF($AE104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-100+0.5)/3.5))))</f>
        <v/>
      </c>
      <c r="J104" s="12">
        <f>IF($AE104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-100+0.5)/3.5))))</f>
        <v/>
      </c>
      <c r="K104" s="13">
        <f>IF($AE104="","",IFERROR(INDEX(Players!$U$2:$U$301,$AE104),""))</f>
        <v/>
      </c>
      <c r="L104" s="13">
        <f>IF($AE104="","",IFERROR(INDEX(Players!$X$2:$X$301,$AE104),""))</f>
        <v/>
      </c>
      <c r="M104" s="14">
        <f>IF($AE104="","",IFERROR(INDEX(Players!$K$2:$K$301,$AE104),""))</f>
        <v/>
      </c>
      <c r="N104" s="14">
        <f>IF($AE104="","",IFERROR(INDEX(Players!$H$2:$H$301,$AE104),""))</f>
        <v/>
      </c>
      <c r="O104" s="15">
        <f>IF($AE104="","",IFERROR(INDEX(Players!$G$2:$G$301,$AE104),""))</f>
        <v/>
      </c>
      <c r="P104" s="14">
        <f>IF($AE104="","",IFERROR(INDEX(Players!$I$2:$I$301,$AE104),""))</f>
        <v/>
      </c>
      <c r="Q104" s="14">
        <f>IF($AE104="","",IFERROR(INDEX(Players!$F$2:$F$301,$AE104),""))</f>
        <v/>
      </c>
      <c r="R104" s="14">
        <f>IF($AE104="","",IFERROR(INDEX(Players!$J$2:$J$301,$AE104),""))</f>
        <v/>
      </c>
      <c r="S104" s="15">
        <f>IF($AE104="","",IFERROR(INDEX(Players!$L$2:$L$301,$AE104),""))</f>
        <v/>
      </c>
      <c r="T104" s="14">
        <f>IF($AE104="","",IFERROR(INDEX(Players!$M$2:$M$301,$AE104),""))</f>
        <v/>
      </c>
      <c r="U104" s="14">
        <f>IF($AE104="","",IFERROR(INDEX(Players!$N$2:$N$301,$AE104),""))</f>
        <v/>
      </c>
      <c r="V104" s="14">
        <f>IF($AE104="","",IFERROR(INDEX(Players!$O$2:$O$301,$AE104),""))</f>
        <v/>
      </c>
      <c r="W104" s="14">
        <f>IF($AE104="","",IFERROR(INDEX(Players!$P$2:$P$301,$AE104),""))</f>
        <v/>
      </c>
      <c r="X104" s="14">
        <f>IF($AE104="","",IFERROR(INDEX(Players!$Q$2:$Q$301,$AE104),""))</f>
        <v/>
      </c>
      <c r="Y104" s="14">
        <f>IF($AE104="","",IFERROR(INDEX(Players!$R$2:$R$301,$AE104),""))</f>
        <v/>
      </c>
      <c r="AE104">
        <f>IFERROR(MATCH(LARGE(Players!$V$2:$V$301,100),Players!$V$2:$V$301,0),"")</f>
        <v/>
      </c>
    </row>
    <row r="105">
      <c r="A105" s="9" t="inlineStr">
        <is>
          <t>9.05</t>
        </is>
      </c>
      <c r="B105" s="18" t="inlineStr">
        <is>
          <t>Team 5</t>
        </is>
      </c>
      <c r="C105" s="19" t="n"/>
      <c r="E105" s="9" t="n">
        <v>101</v>
      </c>
      <c r="F105">
        <f>IF($AE105="","",IFERROR(INDEX(Players!$B$2:$B$301,$AE105),""))</f>
        <v/>
      </c>
      <c r="G105">
        <f>IF($AE105="","",IFERROR(INDEX(Players!$D$2:$D$301,$AE105),""))</f>
        <v/>
      </c>
      <c r="H105">
        <f>IF($AE105="","",IFERROR(INDEX(Players!$C$2:$C$301,$AE105),""))</f>
        <v/>
      </c>
      <c r="I105" s="12">
        <f>IF($AE105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-101+0.5)/3.5))))</f>
        <v/>
      </c>
      <c r="J105" s="12">
        <f>IF($AE105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-101+0.5)/3.5))))</f>
        <v/>
      </c>
      <c r="K105" s="13">
        <f>IF($AE105="","",IFERROR(INDEX(Players!$U$2:$U$301,$AE105),""))</f>
        <v/>
      </c>
      <c r="L105" s="13">
        <f>IF($AE105="","",IFERROR(INDEX(Players!$X$2:$X$301,$AE105),""))</f>
        <v/>
      </c>
      <c r="M105" s="14">
        <f>IF($AE105="","",IFERROR(INDEX(Players!$K$2:$K$301,$AE105),""))</f>
        <v/>
      </c>
      <c r="N105" s="14">
        <f>IF($AE105="","",IFERROR(INDEX(Players!$H$2:$H$301,$AE105),""))</f>
        <v/>
      </c>
      <c r="O105" s="15">
        <f>IF($AE105="","",IFERROR(INDEX(Players!$G$2:$G$301,$AE105),""))</f>
        <v/>
      </c>
      <c r="P105" s="14">
        <f>IF($AE105="","",IFERROR(INDEX(Players!$I$2:$I$301,$AE105),""))</f>
        <v/>
      </c>
      <c r="Q105" s="14">
        <f>IF($AE105="","",IFERROR(INDEX(Players!$F$2:$F$301,$AE105),""))</f>
        <v/>
      </c>
      <c r="R105" s="14">
        <f>IF($AE105="","",IFERROR(INDEX(Players!$J$2:$J$301,$AE105),""))</f>
        <v/>
      </c>
      <c r="S105" s="15">
        <f>IF($AE105="","",IFERROR(INDEX(Players!$L$2:$L$301,$AE105),""))</f>
        <v/>
      </c>
      <c r="T105" s="14">
        <f>IF($AE105="","",IFERROR(INDEX(Players!$M$2:$M$301,$AE105),""))</f>
        <v/>
      </c>
      <c r="U105" s="14">
        <f>IF($AE105="","",IFERROR(INDEX(Players!$N$2:$N$301,$AE105),""))</f>
        <v/>
      </c>
      <c r="V105" s="14">
        <f>IF($AE105="","",IFERROR(INDEX(Players!$O$2:$O$301,$AE105),""))</f>
        <v/>
      </c>
      <c r="W105" s="14">
        <f>IF($AE105="","",IFERROR(INDEX(Players!$P$2:$P$301,$AE105),""))</f>
        <v/>
      </c>
      <c r="X105" s="14">
        <f>IF($AE105="","",IFERROR(INDEX(Players!$Q$2:$Q$301,$AE105),""))</f>
        <v/>
      </c>
      <c r="Y105" s="14">
        <f>IF($AE105="","",IFERROR(INDEX(Players!$R$2:$R$301,$AE105),""))</f>
        <v/>
      </c>
      <c r="AE105">
        <f>IFERROR(MATCH(LARGE(Players!$V$2:$V$301,101),Players!$V$2:$V$301,0),"")</f>
        <v/>
      </c>
    </row>
    <row r="106">
      <c r="A106" s="9" t="inlineStr">
        <is>
          <t>9.06</t>
        </is>
      </c>
      <c r="B106" s="18" t="inlineStr">
        <is>
          <t>Team 6</t>
        </is>
      </c>
      <c r="C106" s="19" t="n"/>
      <c r="E106" s="9" t="n">
        <v>102</v>
      </c>
      <c r="F106">
        <f>IF($AE106="","",IFERROR(INDEX(Players!$B$2:$B$301,$AE106),""))</f>
        <v/>
      </c>
      <c r="G106">
        <f>IF($AE106="","",IFERROR(INDEX(Players!$D$2:$D$301,$AE106),""))</f>
        <v/>
      </c>
      <c r="H106">
        <f>IF($AE106="","",IFERROR(INDEX(Players!$C$2:$C$301,$AE106),""))</f>
        <v/>
      </c>
      <c r="I106" s="12">
        <f>IF($AE106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-102+0.5)/3.5))))</f>
        <v/>
      </c>
      <c r="J106" s="12">
        <f>IF($AE106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-102+0.5)/3.5))))</f>
        <v/>
      </c>
      <c r="K106" s="13">
        <f>IF($AE106="","",IFERROR(INDEX(Players!$U$2:$U$301,$AE106),""))</f>
        <v/>
      </c>
      <c r="L106" s="13">
        <f>IF($AE106="","",IFERROR(INDEX(Players!$X$2:$X$301,$AE106),""))</f>
        <v/>
      </c>
      <c r="M106" s="14">
        <f>IF($AE106="","",IFERROR(INDEX(Players!$K$2:$K$301,$AE106),""))</f>
        <v/>
      </c>
      <c r="N106" s="14">
        <f>IF($AE106="","",IFERROR(INDEX(Players!$H$2:$H$301,$AE106),""))</f>
        <v/>
      </c>
      <c r="O106" s="15">
        <f>IF($AE106="","",IFERROR(INDEX(Players!$G$2:$G$301,$AE106),""))</f>
        <v/>
      </c>
      <c r="P106" s="14">
        <f>IF($AE106="","",IFERROR(INDEX(Players!$I$2:$I$301,$AE106),""))</f>
        <v/>
      </c>
      <c r="Q106" s="14">
        <f>IF($AE106="","",IFERROR(INDEX(Players!$F$2:$F$301,$AE106),""))</f>
        <v/>
      </c>
      <c r="R106" s="14">
        <f>IF($AE106="","",IFERROR(INDEX(Players!$J$2:$J$301,$AE106),""))</f>
        <v/>
      </c>
      <c r="S106" s="15">
        <f>IF($AE106="","",IFERROR(INDEX(Players!$L$2:$L$301,$AE106),""))</f>
        <v/>
      </c>
      <c r="T106" s="14">
        <f>IF($AE106="","",IFERROR(INDEX(Players!$M$2:$M$301,$AE106),""))</f>
        <v/>
      </c>
      <c r="U106" s="14">
        <f>IF($AE106="","",IFERROR(INDEX(Players!$N$2:$N$301,$AE106),""))</f>
        <v/>
      </c>
      <c r="V106" s="14">
        <f>IF($AE106="","",IFERROR(INDEX(Players!$O$2:$O$301,$AE106),""))</f>
        <v/>
      </c>
      <c r="W106" s="14">
        <f>IF($AE106="","",IFERROR(INDEX(Players!$P$2:$P$301,$AE106),""))</f>
        <v/>
      </c>
      <c r="X106" s="14">
        <f>IF($AE106="","",IFERROR(INDEX(Players!$Q$2:$Q$301,$AE106),""))</f>
        <v/>
      </c>
      <c r="Y106" s="14">
        <f>IF($AE106="","",IFERROR(INDEX(Players!$R$2:$R$301,$AE106),""))</f>
        <v/>
      </c>
      <c r="AE106">
        <f>IFERROR(MATCH(LARGE(Players!$V$2:$V$301,102),Players!$V$2:$V$301,0),"")</f>
        <v/>
      </c>
    </row>
    <row r="107">
      <c r="A107" s="9" t="inlineStr">
        <is>
          <t>9.07</t>
        </is>
      </c>
      <c r="B107" s="18" t="inlineStr">
        <is>
          <t>Team 7</t>
        </is>
      </c>
      <c r="C107" s="19" t="n"/>
      <c r="E107" s="9" t="n">
        <v>103</v>
      </c>
      <c r="F107">
        <f>IF($AE107="","",IFERROR(INDEX(Players!$B$2:$B$301,$AE107),""))</f>
        <v/>
      </c>
      <c r="G107">
        <f>IF($AE107="","",IFERROR(INDEX(Players!$D$2:$D$301,$AE107),""))</f>
        <v/>
      </c>
      <c r="H107">
        <f>IF($AE107="","",IFERROR(INDEX(Players!$C$2:$C$301,$AE107),""))</f>
        <v/>
      </c>
      <c r="I107" s="12">
        <f>IF($AE107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-103+0.5)/3.5))))</f>
        <v/>
      </c>
      <c r="J107" s="12">
        <f>IF($AE107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-103+0.5)/3.5))))</f>
        <v/>
      </c>
      <c r="K107" s="13">
        <f>IF($AE107="","",IFERROR(INDEX(Players!$U$2:$U$301,$AE107),""))</f>
        <v/>
      </c>
      <c r="L107" s="13">
        <f>IF($AE107="","",IFERROR(INDEX(Players!$X$2:$X$301,$AE107),""))</f>
        <v/>
      </c>
      <c r="M107" s="14">
        <f>IF($AE107="","",IFERROR(INDEX(Players!$K$2:$K$301,$AE107),""))</f>
        <v/>
      </c>
      <c r="N107" s="14">
        <f>IF($AE107="","",IFERROR(INDEX(Players!$H$2:$H$301,$AE107),""))</f>
        <v/>
      </c>
      <c r="O107" s="15">
        <f>IF($AE107="","",IFERROR(INDEX(Players!$G$2:$G$301,$AE107),""))</f>
        <v/>
      </c>
      <c r="P107" s="14">
        <f>IF($AE107="","",IFERROR(INDEX(Players!$I$2:$I$301,$AE107),""))</f>
        <v/>
      </c>
      <c r="Q107" s="14">
        <f>IF($AE107="","",IFERROR(INDEX(Players!$F$2:$F$301,$AE107),""))</f>
        <v/>
      </c>
      <c r="R107" s="14">
        <f>IF($AE107="","",IFERROR(INDEX(Players!$J$2:$J$301,$AE107),""))</f>
        <v/>
      </c>
      <c r="S107" s="15">
        <f>IF($AE107="","",IFERROR(INDEX(Players!$L$2:$L$301,$AE107),""))</f>
        <v/>
      </c>
      <c r="T107" s="14">
        <f>IF($AE107="","",IFERROR(INDEX(Players!$M$2:$M$301,$AE107),""))</f>
        <v/>
      </c>
      <c r="U107" s="14">
        <f>IF($AE107="","",IFERROR(INDEX(Players!$N$2:$N$301,$AE107),""))</f>
        <v/>
      </c>
      <c r="V107" s="14">
        <f>IF($AE107="","",IFERROR(INDEX(Players!$O$2:$O$301,$AE107),""))</f>
        <v/>
      </c>
      <c r="W107" s="14">
        <f>IF($AE107="","",IFERROR(INDEX(Players!$P$2:$P$301,$AE107),""))</f>
        <v/>
      </c>
      <c r="X107" s="14">
        <f>IF($AE107="","",IFERROR(INDEX(Players!$Q$2:$Q$301,$AE107),""))</f>
        <v/>
      </c>
      <c r="Y107" s="14">
        <f>IF($AE107="","",IFERROR(INDEX(Players!$R$2:$R$301,$AE107),""))</f>
        <v/>
      </c>
      <c r="AE107">
        <f>IFERROR(MATCH(LARGE(Players!$V$2:$V$301,103),Players!$V$2:$V$301,0),"")</f>
        <v/>
      </c>
    </row>
    <row r="108">
      <c r="A108" s="9" t="inlineStr">
        <is>
          <t>9.08</t>
        </is>
      </c>
      <c r="B108" s="18" t="inlineStr">
        <is>
          <t>Team 8</t>
        </is>
      </c>
      <c r="C108" s="19" t="n"/>
      <c r="E108" s="9" t="n">
        <v>104</v>
      </c>
      <c r="F108">
        <f>IF($AE108="","",IFERROR(INDEX(Players!$B$2:$B$301,$AE108),""))</f>
        <v/>
      </c>
      <c r="G108">
        <f>IF($AE108="","",IFERROR(INDEX(Players!$D$2:$D$301,$AE108),""))</f>
        <v/>
      </c>
      <c r="H108">
        <f>IF($AE108="","",IFERROR(INDEX(Players!$C$2:$C$301,$AE108),""))</f>
        <v/>
      </c>
      <c r="I108" s="12">
        <f>IF($AE108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-104+0.5)/3.5))))</f>
        <v/>
      </c>
      <c r="J108" s="12">
        <f>IF($AE108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-104+0.5)/3.5))))</f>
        <v/>
      </c>
      <c r="K108" s="13">
        <f>IF($AE108="","",IFERROR(INDEX(Players!$U$2:$U$301,$AE108),""))</f>
        <v/>
      </c>
      <c r="L108" s="13">
        <f>IF($AE108="","",IFERROR(INDEX(Players!$X$2:$X$301,$AE108),""))</f>
        <v/>
      </c>
      <c r="M108" s="14">
        <f>IF($AE108="","",IFERROR(INDEX(Players!$K$2:$K$301,$AE108),""))</f>
        <v/>
      </c>
      <c r="N108" s="14">
        <f>IF($AE108="","",IFERROR(INDEX(Players!$H$2:$H$301,$AE108),""))</f>
        <v/>
      </c>
      <c r="O108" s="15">
        <f>IF($AE108="","",IFERROR(INDEX(Players!$G$2:$G$301,$AE108),""))</f>
        <v/>
      </c>
      <c r="P108" s="14">
        <f>IF($AE108="","",IFERROR(INDEX(Players!$I$2:$I$301,$AE108),""))</f>
        <v/>
      </c>
      <c r="Q108" s="14">
        <f>IF($AE108="","",IFERROR(INDEX(Players!$F$2:$F$301,$AE108),""))</f>
        <v/>
      </c>
      <c r="R108" s="14">
        <f>IF($AE108="","",IFERROR(INDEX(Players!$J$2:$J$301,$AE108),""))</f>
        <v/>
      </c>
      <c r="S108" s="15">
        <f>IF($AE108="","",IFERROR(INDEX(Players!$L$2:$L$301,$AE108),""))</f>
        <v/>
      </c>
      <c r="T108" s="14">
        <f>IF($AE108="","",IFERROR(INDEX(Players!$M$2:$M$301,$AE108),""))</f>
        <v/>
      </c>
      <c r="U108" s="14">
        <f>IF($AE108="","",IFERROR(INDEX(Players!$N$2:$N$301,$AE108),""))</f>
        <v/>
      </c>
      <c r="V108" s="14">
        <f>IF($AE108="","",IFERROR(INDEX(Players!$O$2:$O$301,$AE108),""))</f>
        <v/>
      </c>
      <c r="W108" s="14">
        <f>IF($AE108="","",IFERROR(INDEX(Players!$P$2:$P$301,$AE108),""))</f>
        <v/>
      </c>
      <c r="X108" s="14">
        <f>IF($AE108="","",IFERROR(INDEX(Players!$Q$2:$Q$301,$AE108),""))</f>
        <v/>
      </c>
      <c r="Y108" s="14">
        <f>IF($AE108="","",IFERROR(INDEX(Players!$R$2:$R$301,$AE108),""))</f>
        <v/>
      </c>
      <c r="AE108">
        <f>IFERROR(MATCH(LARGE(Players!$V$2:$V$301,104),Players!$V$2:$V$301,0),"")</f>
        <v/>
      </c>
    </row>
    <row r="109">
      <c r="A109" s="9" t="inlineStr">
        <is>
          <t>9.09</t>
        </is>
      </c>
      <c r="B109" s="18" t="inlineStr">
        <is>
          <t>Team 9</t>
        </is>
      </c>
      <c r="C109" s="19" t="n"/>
      <c r="E109" s="9" t="n">
        <v>105</v>
      </c>
      <c r="F109">
        <f>IF($AE109="","",IFERROR(INDEX(Players!$B$2:$B$301,$AE109),""))</f>
        <v/>
      </c>
      <c r="G109">
        <f>IF($AE109="","",IFERROR(INDEX(Players!$D$2:$D$301,$AE109),""))</f>
        <v/>
      </c>
      <c r="H109">
        <f>IF($AE109="","",IFERROR(INDEX(Players!$C$2:$C$301,$AE109),""))</f>
        <v/>
      </c>
      <c r="I109" s="12">
        <f>IF($AE109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-105+0.5)/3.5))))</f>
        <v/>
      </c>
      <c r="J109" s="12">
        <f>IF($AE109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-105+0.5)/3.5))))</f>
        <v/>
      </c>
      <c r="K109" s="13">
        <f>IF($AE109="","",IFERROR(INDEX(Players!$U$2:$U$301,$AE109),""))</f>
        <v/>
      </c>
      <c r="L109" s="13">
        <f>IF($AE109="","",IFERROR(INDEX(Players!$X$2:$X$301,$AE109),""))</f>
        <v/>
      </c>
      <c r="M109" s="14">
        <f>IF($AE109="","",IFERROR(INDEX(Players!$K$2:$K$301,$AE109),""))</f>
        <v/>
      </c>
      <c r="N109" s="14">
        <f>IF($AE109="","",IFERROR(INDEX(Players!$H$2:$H$301,$AE109),""))</f>
        <v/>
      </c>
      <c r="O109" s="15">
        <f>IF($AE109="","",IFERROR(INDEX(Players!$G$2:$G$301,$AE109),""))</f>
        <v/>
      </c>
      <c r="P109" s="14">
        <f>IF($AE109="","",IFERROR(INDEX(Players!$I$2:$I$301,$AE109),""))</f>
        <v/>
      </c>
      <c r="Q109" s="14">
        <f>IF($AE109="","",IFERROR(INDEX(Players!$F$2:$F$301,$AE109),""))</f>
        <v/>
      </c>
      <c r="R109" s="14">
        <f>IF($AE109="","",IFERROR(INDEX(Players!$J$2:$J$301,$AE109),""))</f>
        <v/>
      </c>
      <c r="S109" s="15">
        <f>IF($AE109="","",IFERROR(INDEX(Players!$L$2:$L$301,$AE109),""))</f>
        <v/>
      </c>
      <c r="T109" s="14">
        <f>IF($AE109="","",IFERROR(INDEX(Players!$M$2:$M$301,$AE109),""))</f>
        <v/>
      </c>
      <c r="U109" s="14">
        <f>IF($AE109="","",IFERROR(INDEX(Players!$N$2:$N$301,$AE109),""))</f>
        <v/>
      </c>
      <c r="V109" s="14">
        <f>IF($AE109="","",IFERROR(INDEX(Players!$O$2:$O$301,$AE109),""))</f>
        <v/>
      </c>
      <c r="W109" s="14">
        <f>IF($AE109="","",IFERROR(INDEX(Players!$P$2:$P$301,$AE109),""))</f>
        <v/>
      </c>
      <c r="X109" s="14">
        <f>IF($AE109="","",IFERROR(INDEX(Players!$Q$2:$Q$301,$AE109),""))</f>
        <v/>
      </c>
      <c r="Y109" s="14">
        <f>IF($AE109="","",IFERROR(INDEX(Players!$R$2:$R$301,$AE109),""))</f>
        <v/>
      </c>
      <c r="AE109">
        <f>IFERROR(MATCH(LARGE(Players!$V$2:$V$301,105),Players!$V$2:$V$301,0),"")</f>
        <v/>
      </c>
    </row>
    <row r="110">
      <c r="A110" s="9" t="inlineStr">
        <is>
          <t>9.10</t>
        </is>
      </c>
      <c r="B110" s="18" t="inlineStr">
        <is>
          <t>Team 10</t>
        </is>
      </c>
      <c r="C110" s="19" t="n"/>
      <c r="E110" s="9" t="n">
        <v>106</v>
      </c>
      <c r="F110">
        <f>IF($AE110="","",IFERROR(INDEX(Players!$B$2:$B$301,$AE110),""))</f>
        <v/>
      </c>
      <c r="G110">
        <f>IF($AE110="","",IFERROR(INDEX(Players!$D$2:$D$301,$AE110),""))</f>
        <v/>
      </c>
      <c r="H110">
        <f>IF($AE110="","",IFERROR(INDEX(Players!$C$2:$C$301,$AE110),""))</f>
        <v/>
      </c>
      <c r="I110" s="12">
        <f>IF($AE110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-106+0.5)/3.5))))</f>
        <v/>
      </c>
      <c r="J110" s="12">
        <f>IF($AE110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-106+0.5)/3.5))))</f>
        <v/>
      </c>
      <c r="K110" s="13">
        <f>IF($AE110="","",IFERROR(INDEX(Players!$U$2:$U$301,$AE110),""))</f>
        <v/>
      </c>
      <c r="L110" s="13">
        <f>IF($AE110="","",IFERROR(INDEX(Players!$X$2:$X$301,$AE110),""))</f>
        <v/>
      </c>
      <c r="M110" s="14">
        <f>IF($AE110="","",IFERROR(INDEX(Players!$K$2:$K$301,$AE110),""))</f>
        <v/>
      </c>
      <c r="N110" s="14">
        <f>IF($AE110="","",IFERROR(INDEX(Players!$H$2:$H$301,$AE110),""))</f>
        <v/>
      </c>
      <c r="O110" s="15">
        <f>IF($AE110="","",IFERROR(INDEX(Players!$G$2:$G$301,$AE110),""))</f>
        <v/>
      </c>
      <c r="P110" s="14">
        <f>IF($AE110="","",IFERROR(INDEX(Players!$I$2:$I$301,$AE110),""))</f>
        <v/>
      </c>
      <c r="Q110" s="14">
        <f>IF($AE110="","",IFERROR(INDEX(Players!$F$2:$F$301,$AE110),""))</f>
        <v/>
      </c>
      <c r="R110" s="14">
        <f>IF($AE110="","",IFERROR(INDEX(Players!$J$2:$J$301,$AE110),""))</f>
        <v/>
      </c>
      <c r="S110" s="15">
        <f>IF($AE110="","",IFERROR(INDEX(Players!$L$2:$L$301,$AE110),""))</f>
        <v/>
      </c>
      <c r="T110" s="14">
        <f>IF($AE110="","",IFERROR(INDEX(Players!$M$2:$M$301,$AE110),""))</f>
        <v/>
      </c>
      <c r="U110" s="14">
        <f>IF($AE110="","",IFERROR(INDEX(Players!$N$2:$N$301,$AE110),""))</f>
        <v/>
      </c>
      <c r="V110" s="14">
        <f>IF($AE110="","",IFERROR(INDEX(Players!$O$2:$O$301,$AE110),""))</f>
        <v/>
      </c>
      <c r="W110" s="14">
        <f>IF($AE110="","",IFERROR(INDEX(Players!$P$2:$P$301,$AE110),""))</f>
        <v/>
      </c>
      <c r="X110" s="14">
        <f>IF($AE110="","",IFERROR(INDEX(Players!$Q$2:$Q$301,$AE110),""))</f>
        <v/>
      </c>
      <c r="Y110" s="14">
        <f>IF($AE110="","",IFERROR(INDEX(Players!$R$2:$R$301,$AE110),""))</f>
        <v/>
      </c>
      <c r="AE110">
        <f>IFERROR(MATCH(LARGE(Players!$V$2:$V$301,106),Players!$V$2:$V$301,0),"")</f>
        <v/>
      </c>
    </row>
    <row r="111">
      <c r="A111" s="9" t="inlineStr">
        <is>
          <t>9.11</t>
        </is>
      </c>
      <c r="B111" s="18" t="inlineStr">
        <is>
          <t>Team 11</t>
        </is>
      </c>
      <c r="C111" s="19" t="n"/>
      <c r="E111" s="9" t="n">
        <v>107</v>
      </c>
      <c r="F111">
        <f>IF($AE111="","",IFERROR(INDEX(Players!$B$2:$B$301,$AE111),""))</f>
        <v/>
      </c>
      <c r="G111">
        <f>IF($AE111="","",IFERROR(INDEX(Players!$D$2:$D$301,$AE111),""))</f>
        <v/>
      </c>
      <c r="H111">
        <f>IF($AE111="","",IFERROR(INDEX(Players!$C$2:$C$301,$AE111),""))</f>
        <v/>
      </c>
      <c r="I111" s="12">
        <f>IF($AE111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-107+0.5)/3.5))))</f>
        <v/>
      </c>
      <c r="J111" s="12">
        <f>IF($AE111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-107+0.5)/3.5))))</f>
        <v/>
      </c>
      <c r="K111" s="13">
        <f>IF($AE111="","",IFERROR(INDEX(Players!$U$2:$U$301,$AE111),""))</f>
        <v/>
      </c>
      <c r="L111" s="13">
        <f>IF($AE111="","",IFERROR(INDEX(Players!$X$2:$X$301,$AE111),""))</f>
        <v/>
      </c>
      <c r="M111" s="14">
        <f>IF($AE111="","",IFERROR(INDEX(Players!$K$2:$K$301,$AE111),""))</f>
        <v/>
      </c>
      <c r="N111" s="14">
        <f>IF($AE111="","",IFERROR(INDEX(Players!$H$2:$H$301,$AE111),""))</f>
        <v/>
      </c>
      <c r="O111" s="15">
        <f>IF($AE111="","",IFERROR(INDEX(Players!$G$2:$G$301,$AE111),""))</f>
        <v/>
      </c>
      <c r="P111" s="14">
        <f>IF($AE111="","",IFERROR(INDEX(Players!$I$2:$I$301,$AE111),""))</f>
        <v/>
      </c>
      <c r="Q111" s="14">
        <f>IF($AE111="","",IFERROR(INDEX(Players!$F$2:$F$301,$AE111),""))</f>
        <v/>
      </c>
      <c r="R111" s="14">
        <f>IF($AE111="","",IFERROR(INDEX(Players!$J$2:$J$301,$AE111),""))</f>
        <v/>
      </c>
      <c r="S111" s="15">
        <f>IF($AE111="","",IFERROR(INDEX(Players!$L$2:$L$301,$AE111),""))</f>
        <v/>
      </c>
      <c r="T111" s="14">
        <f>IF($AE111="","",IFERROR(INDEX(Players!$M$2:$M$301,$AE111),""))</f>
        <v/>
      </c>
      <c r="U111" s="14">
        <f>IF($AE111="","",IFERROR(INDEX(Players!$N$2:$N$301,$AE111),""))</f>
        <v/>
      </c>
      <c r="V111" s="14">
        <f>IF($AE111="","",IFERROR(INDEX(Players!$O$2:$O$301,$AE111),""))</f>
        <v/>
      </c>
      <c r="W111" s="14">
        <f>IF($AE111="","",IFERROR(INDEX(Players!$P$2:$P$301,$AE111),""))</f>
        <v/>
      </c>
      <c r="X111" s="14">
        <f>IF($AE111="","",IFERROR(INDEX(Players!$Q$2:$Q$301,$AE111),""))</f>
        <v/>
      </c>
      <c r="Y111" s="14">
        <f>IF($AE111="","",IFERROR(INDEX(Players!$R$2:$R$301,$AE111),""))</f>
        <v/>
      </c>
      <c r="AE111">
        <f>IFERROR(MATCH(LARGE(Players!$V$2:$V$301,107),Players!$V$2:$V$301,0),"")</f>
        <v/>
      </c>
    </row>
    <row r="112">
      <c r="A112" s="9" t="inlineStr">
        <is>
          <t>9.12</t>
        </is>
      </c>
      <c r="B112" s="18" t="inlineStr">
        <is>
          <t>Team 12</t>
        </is>
      </c>
      <c r="C112" s="19" t="n"/>
      <c r="E112" s="9" t="n">
        <v>108</v>
      </c>
      <c r="F112">
        <f>IF($AE112="","",IFERROR(INDEX(Players!$B$2:$B$301,$AE112),""))</f>
        <v/>
      </c>
      <c r="G112">
        <f>IF($AE112="","",IFERROR(INDEX(Players!$D$2:$D$301,$AE112),""))</f>
        <v/>
      </c>
      <c r="H112">
        <f>IF($AE112="","",IFERROR(INDEX(Players!$C$2:$C$301,$AE112),""))</f>
        <v/>
      </c>
      <c r="I112" s="12">
        <f>IF($AE112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-108+0.5)/3.5))))</f>
        <v/>
      </c>
      <c r="J112" s="12">
        <f>IF($AE112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-108+0.5)/3.5))))</f>
        <v/>
      </c>
      <c r="K112" s="13">
        <f>IF($AE112="","",IFERROR(INDEX(Players!$U$2:$U$301,$AE112),""))</f>
        <v/>
      </c>
      <c r="L112" s="13">
        <f>IF($AE112="","",IFERROR(INDEX(Players!$X$2:$X$301,$AE112),""))</f>
        <v/>
      </c>
      <c r="M112" s="14">
        <f>IF($AE112="","",IFERROR(INDEX(Players!$K$2:$K$301,$AE112),""))</f>
        <v/>
      </c>
      <c r="N112" s="14">
        <f>IF($AE112="","",IFERROR(INDEX(Players!$H$2:$H$301,$AE112),""))</f>
        <v/>
      </c>
      <c r="O112" s="15">
        <f>IF($AE112="","",IFERROR(INDEX(Players!$G$2:$G$301,$AE112),""))</f>
        <v/>
      </c>
      <c r="P112" s="14">
        <f>IF($AE112="","",IFERROR(INDEX(Players!$I$2:$I$301,$AE112),""))</f>
        <v/>
      </c>
      <c r="Q112" s="14">
        <f>IF($AE112="","",IFERROR(INDEX(Players!$F$2:$F$301,$AE112),""))</f>
        <v/>
      </c>
      <c r="R112" s="14">
        <f>IF($AE112="","",IFERROR(INDEX(Players!$J$2:$J$301,$AE112),""))</f>
        <v/>
      </c>
      <c r="S112" s="15">
        <f>IF($AE112="","",IFERROR(INDEX(Players!$L$2:$L$301,$AE112),""))</f>
        <v/>
      </c>
      <c r="T112" s="14">
        <f>IF($AE112="","",IFERROR(INDEX(Players!$M$2:$M$301,$AE112),""))</f>
        <v/>
      </c>
      <c r="U112" s="14">
        <f>IF($AE112="","",IFERROR(INDEX(Players!$N$2:$N$301,$AE112),""))</f>
        <v/>
      </c>
      <c r="V112" s="14">
        <f>IF($AE112="","",IFERROR(INDEX(Players!$O$2:$O$301,$AE112),""))</f>
        <v/>
      </c>
      <c r="W112" s="14">
        <f>IF($AE112="","",IFERROR(INDEX(Players!$P$2:$P$301,$AE112),""))</f>
        <v/>
      </c>
      <c r="X112" s="14">
        <f>IF($AE112="","",IFERROR(INDEX(Players!$Q$2:$Q$301,$AE112),""))</f>
        <v/>
      </c>
      <c r="Y112" s="14">
        <f>IF($AE112="","",IFERROR(INDEX(Players!$R$2:$R$301,$AE112),""))</f>
        <v/>
      </c>
      <c r="AE112">
        <f>IFERROR(MATCH(LARGE(Players!$V$2:$V$301,108),Players!$V$2:$V$301,0),"")</f>
        <v/>
      </c>
    </row>
    <row r="113">
      <c r="A113" s="9" t="inlineStr">
        <is>
          <t>10.01</t>
        </is>
      </c>
      <c r="B113" s="18" t="inlineStr">
        <is>
          <t>Team 12</t>
        </is>
      </c>
      <c r="C113" s="19" t="n"/>
      <c r="E113" s="9" t="n">
        <v>109</v>
      </c>
      <c r="F113">
        <f>IF($AE113="","",IFERROR(INDEX(Players!$B$2:$B$301,$AE113),""))</f>
        <v/>
      </c>
      <c r="G113">
        <f>IF($AE113="","",IFERROR(INDEX(Players!$D$2:$D$301,$AE113),""))</f>
        <v/>
      </c>
      <c r="H113">
        <f>IF($AE113="","",IFERROR(INDEX(Players!$C$2:$C$301,$AE113),""))</f>
        <v/>
      </c>
      <c r="I113" s="12">
        <f>IF($AE113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-109+0.5)/3.5))))</f>
        <v/>
      </c>
      <c r="J113" s="12">
        <f>IF($AE113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-109+0.5)/3.5))))</f>
        <v/>
      </c>
      <c r="K113" s="13">
        <f>IF($AE113="","",IFERROR(INDEX(Players!$U$2:$U$301,$AE113),""))</f>
        <v/>
      </c>
      <c r="L113" s="13">
        <f>IF($AE113="","",IFERROR(INDEX(Players!$X$2:$X$301,$AE113),""))</f>
        <v/>
      </c>
      <c r="M113" s="14">
        <f>IF($AE113="","",IFERROR(INDEX(Players!$K$2:$K$301,$AE113),""))</f>
        <v/>
      </c>
      <c r="N113" s="14">
        <f>IF($AE113="","",IFERROR(INDEX(Players!$H$2:$H$301,$AE113),""))</f>
        <v/>
      </c>
      <c r="O113" s="15">
        <f>IF($AE113="","",IFERROR(INDEX(Players!$G$2:$G$301,$AE113),""))</f>
        <v/>
      </c>
      <c r="P113" s="14">
        <f>IF($AE113="","",IFERROR(INDEX(Players!$I$2:$I$301,$AE113),""))</f>
        <v/>
      </c>
      <c r="Q113" s="14">
        <f>IF($AE113="","",IFERROR(INDEX(Players!$F$2:$F$301,$AE113),""))</f>
        <v/>
      </c>
      <c r="R113" s="14">
        <f>IF($AE113="","",IFERROR(INDEX(Players!$J$2:$J$301,$AE113),""))</f>
        <v/>
      </c>
      <c r="S113" s="15">
        <f>IF($AE113="","",IFERROR(INDEX(Players!$L$2:$L$301,$AE113),""))</f>
        <v/>
      </c>
      <c r="T113" s="14">
        <f>IF($AE113="","",IFERROR(INDEX(Players!$M$2:$M$301,$AE113),""))</f>
        <v/>
      </c>
      <c r="U113" s="14">
        <f>IF($AE113="","",IFERROR(INDEX(Players!$N$2:$N$301,$AE113),""))</f>
        <v/>
      </c>
      <c r="V113" s="14">
        <f>IF($AE113="","",IFERROR(INDEX(Players!$O$2:$O$301,$AE113),""))</f>
        <v/>
      </c>
      <c r="W113" s="14">
        <f>IF($AE113="","",IFERROR(INDEX(Players!$P$2:$P$301,$AE113),""))</f>
        <v/>
      </c>
      <c r="X113" s="14">
        <f>IF($AE113="","",IFERROR(INDEX(Players!$Q$2:$Q$301,$AE113),""))</f>
        <v/>
      </c>
      <c r="Y113" s="14">
        <f>IF($AE113="","",IFERROR(INDEX(Players!$R$2:$R$301,$AE113),""))</f>
        <v/>
      </c>
      <c r="AE113">
        <f>IFERROR(MATCH(LARGE(Players!$V$2:$V$301,109),Players!$V$2:$V$301,0),"")</f>
        <v/>
      </c>
    </row>
    <row r="114">
      <c r="A114" s="9" t="inlineStr">
        <is>
          <t>10.02</t>
        </is>
      </c>
      <c r="B114" s="18" t="inlineStr">
        <is>
          <t>Team 11</t>
        </is>
      </c>
      <c r="C114" s="19" t="n"/>
      <c r="E114" s="9" t="n">
        <v>110</v>
      </c>
      <c r="F114">
        <f>IF($AE114="","",IFERROR(INDEX(Players!$B$2:$B$301,$AE114),""))</f>
        <v/>
      </c>
      <c r="G114">
        <f>IF($AE114="","",IFERROR(INDEX(Players!$D$2:$D$301,$AE114),""))</f>
        <v/>
      </c>
      <c r="H114">
        <f>IF($AE114="","",IFERROR(INDEX(Players!$C$2:$C$301,$AE114),""))</f>
        <v/>
      </c>
      <c r="I114" s="12">
        <f>IF($AE114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-110+0.5)/3.5))))</f>
        <v/>
      </c>
      <c r="J114" s="12">
        <f>IF($AE114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-110+0.5)/3.5))))</f>
        <v/>
      </c>
      <c r="K114" s="13">
        <f>IF($AE114="","",IFERROR(INDEX(Players!$U$2:$U$301,$AE114),""))</f>
        <v/>
      </c>
      <c r="L114" s="13">
        <f>IF($AE114="","",IFERROR(INDEX(Players!$X$2:$X$301,$AE114),""))</f>
        <v/>
      </c>
      <c r="M114" s="14">
        <f>IF($AE114="","",IFERROR(INDEX(Players!$K$2:$K$301,$AE114),""))</f>
        <v/>
      </c>
      <c r="N114" s="14">
        <f>IF($AE114="","",IFERROR(INDEX(Players!$H$2:$H$301,$AE114),""))</f>
        <v/>
      </c>
      <c r="O114" s="15">
        <f>IF($AE114="","",IFERROR(INDEX(Players!$G$2:$G$301,$AE114),""))</f>
        <v/>
      </c>
      <c r="P114" s="14">
        <f>IF($AE114="","",IFERROR(INDEX(Players!$I$2:$I$301,$AE114),""))</f>
        <v/>
      </c>
      <c r="Q114" s="14">
        <f>IF($AE114="","",IFERROR(INDEX(Players!$F$2:$F$301,$AE114),""))</f>
        <v/>
      </c>
      <c r="R114" s="14">
        <f>IF($AE114="","",IFERROR(INDEX(Players!$J$2:$J$301,$AE114),""))</f>
        <v/>
      </c>
      <c r="S114" s="15">
        <f>IF($AE114="","",IFERROR(INDEX(Players!$L$2:$L$301,$AE114),""))</f>
        <v/>
      </c>
      <c r="T114" s="14">
        <f>IF($AE114="","",IFERROR(INDEX(Players!$M$2:$M$301,$AE114),""))</f>
        <v/>
      </c>
      <c r="U114" s="14">
        <f>IF($AE114="","",IFERROR(INDEX(Players!$N$2:$N$301,$AE114),""))</f>
        <v/>
      </c>
      <c r="V114" s="14">
        <f>IF($AE114="","",IFERROR(INDEX(Players!$O$2:$O$301,$AE114),""))</f>
        <v/>
      </c>
      <c r="W114" s="14">
        <f>IF($AE114="","",IFERROR(INDEX(Players!$P$2:$P$301,$AE114),""))</f>
        <v/>
      </c>
      <c r="X114" s="14">
        <f>IF($AE114="","",IFERROR(INDEX(Players!$Q$2:$Q$301,$AE114),""))</f>
        <v/>
      </c>
      <c r="Y114" s="14">
        <f>IF($AE114="","",IFERROR(INDEX(Players!$R$2:$R$301,$AE114),""))</f>
        <v/>
      </c>
      <c r="AE114">
        <f>IFERROR(MATCH(LARGE(Players!$V$2:$V$301,110),Players!$V$2:$V$301,0),"")</f>
        <v/>
      </c>
    </row>
    <row r="115">
      <c r="A115" s="9" t="inlineStr">
        <is>
          <t>10.03</t>
        </is>
      </c>
      <c r="B115" s="18" t="inlineStr">
        <is>
          <t>Team 10</t>
        </is>
      </c>
      <c r="C115" s="19" t="n"/>
      <c r="E115" s="9" t="n">
        <v>111</v>
      </c>
      <c r="F115">
        <f>IF($AE115="","",IFERROR(INDEX(Players!$B$2:$B$301,$AE115),""))</f>
        <v/>
      </c>
      <c r="G115">
        <f>IF($AE115="","",IFERROR(INDEX(Players!$D$2:$D$301,$AE115),""))</f>
        <v/>
      </c>
      <c r="H115">
        <f>IF($AE115="","",IFERROR(INDEX(Players!$C$2:$C$301,$AE115),""))</f>
        <v/>
      </c>
      <c r="I115" s="12">
        <f>IF($AE115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-111+0.5)/3.5))))</f>
        <v/>
      </c>
      <c r="J115" s="12">
        <f>IF($AE115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-111+0.5)/3.5))))</f>
        <v/>
      </c>
      <c r="K115" s="13">
        <f>IF($AE115="","",IFERROR(INDEX(Players!$U$2:$U$301,$AE115),""))</f>
        <v/>
      </c>
      <c r="L115" s="13">
        <f>IF($AE115="","",IFERROR(INDEX(Players!$X$2:$X$301,$AE115),""))</f>
        <v/>
      </c>
      <c r="M115" s="14">
        <f>IF($AE115="","",IFERROR(INDEX(Players!$K$2:$K$301,$AE115),""))</f>
        <v/>
      </c>
      <c r="N115" s="14">
        <f>IF($AE115="","",IFERROR(INDEX(Players!$H$2:$H$301,$AE115),""))</f>
        <v/>
      </c>
      <c r="O115" s="15">
        <f>IF($AE115="","",IFERROR(INDEX(Players!$G$2:$G$301,$AE115),""))</f>
        <v/>
      </c>
      <c r="P115" s="14">
        <f>IF($AE115="","",IFERROR(INDEX(Players!$I$2:$I$301,$AE115),""))</f>
        <v/>
      </c>
      <c r="Q115" s="14">
        <f>IF($AE115="","",IFERROR(INDEX(Players!$F$2:$F$301,$AE115),""))</f>
        <v/>
      </c>
      <c r="R115" s="14">
        <f>IF($AE115="","",IFERROR(INDEX(Players!$J$2:$J$301,$AE115),""))</f>
        <v/>
      </c>
      <c r="S115" s="15">
        <f>IF($AE115="","",IFERROR(INDEX(Players!$L$2:$L$301,$AE115),""))</f>
        <v/>
      </c>
      <c r="T115" s="14">
        <f>IF($AE115="","",IFERROR(INDEX(Players!$M$2:$M$301,$AE115),""))</f>
        <v/>
      </c>
      <c r="U115" s="14">
        <f>IF($AE115="","",IFERROR(INDEX(Players!$N$2:$N$301,$AE115),""))</f>
        <v/>
      </c>
      <c r="V115" s="14">
        <f>IF($AE115="","",IFERROR(INDEX(Players!$O$2:$O$301,$AE115),""))</f>
        <v/>
      </c>
      <c r="W115" s="14">
        <f>IF($AE115="","",IFERROR(INDEX(Players!$P$2:$P$301,$AE115),""))</f>
        <v/>
      </c>
      <c r="X115" s="14">
        <f>IF($AE115="","",IFERROR(INDEX(Players!$Q$2:$Q$301,$AE115),""))</f>
        <v/>
      </c>
      <c r="Y115" s="14">
        <f>IF($AE115="","",IFERROR(INDEX(Players!$R$2:$R$301,$AE115),""))</f>
        <v/>
      </c>
      <c r="AE115">
        <f>IFERROR(MATCH(LARGE(Players!$V$2:$V$301,111),Players!$V$2:$V$301,0),"")</f>
        <v/>
      </c>
    </row>
    <row r="116">
      <c r="A116" s="9" t="inlineStr">
        <is>
          <t>10.04</t>
        </is>
      </c>
      <c r="B116" s="18" t="inlineStr">
        <is>
          <t>Team 9</t>
        </is>
      </c>
      <c r="C116" s="19" t="n"/>
      <c r="E116" s="9" t="n">
        <v>112</v>
      </c>
      <c r="F116">
        <f>IF($AE116="","",IFERROR(INDEX(Players!$B$2:$B$301,$AE116),""))</f>
        <v/>
      </c>
      <c r="G116">
        <f>IF($AE116="","",IFERROR(INDEX(Players!$D$2:$D$301,$AE116),""))</f>
        <v/>
      </c>
      <c r="H116">
        <f>IF($AE116="","",IFERROR(INDEX(Players!$C$2:$C$301,$AE116),""))</f>
        <v/>
      </c>
      <c r="I116" s="12">
        <f>IF($AE116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-112+0.5)/3.5))))</f>
        <v/>
      </c>
      <c r="J116" s="12">
        <f>IF($AE116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-112+0.5)/3.5))))</f>
        <v/>
      </c>
      <c r="K116" s="13">
        <f>IF($AE116="","",IFERROR(INDEX(Players!$U$2:$U$301,$AE116),""))</f>
        <v/>
      </c>
      <c r="L116" s="13">
        <f>IF($AE116="","",IFERROR(INDEX(Players!$X$2:$X$301,$AE116),""))</f>
        <v/>
      </c>
      <c r="M116" s="14">
        <f>IF($AE116="","",IFERROR(INDEX(Players!$K$2:$K$301,$AE116),""))</f>
        <v/>
      </c>
      <c r="N116" s="14">
        <f>IF($AE116="","",IFERROR(INDEX(Players!$H$2:$H$301,$AE116),""))</f>
        <v/>
      </c>
      <c r="O116" s="15">
        <f>IF($AE116="","",IFERROR(INDEX(Players!$G$2:$G$301,$AE116),""))</f>
        <v/>
      </c>
      <c r="P116" s="14">
        <f>IF($AE116="","",IFERROR(INDEX(Players!$I$2:$I$301,$AE116),""))</f>
        <v/>
      </c>
      <c r="Q116" s="14">
        <f>IF($AE116="","",IFERROR(INDEX(Players!$F$2:$F$301,$AE116),""))</f>
        <v/>
      </c>
      <c r="R116" s="14">
        <f>IF($AE116="","",IFERROR(INDEX(Players!$J$2:$J$301,$AE116),""))</f>
        <v/>
      </c>
      <c r="S116" s="15">
        <f>IF($AE116="","",IFERROR(INDEX(Players!$L$2:$L$301,$AE116),""))</f>
        <v/>
      </c>
      <c r="T116" s="14">
        <f>IF($AE116="","",IFERROR(INDEX(Players!$M$2:$M$301,$AE116),""))</f>
        <v/>
      </c>
      <c r="U116" s="14">
        <f>IF($AE116="","",IFERROR(INDEX(Players!$N$2:$N$301,$AE116),""))</f>
        <v/>
      </c>
      <c r="V116" s="14">
        <f>IF($AE116="","",IFERROR(INDEX(Players!$O$2:$O$301,$AE116),""))</f>
        <v/>
      </c>
      <c r="W116" s="14">
        <f>IF($AE116="","",IFERROR(INDEX(Players!$P$2:$P$301,$AE116),""))</f>
        <v/>
      </c>
      <c r="X116" s="14">
        <f>IF($AE116="","",IFERROR(INDEX(Players!$Q$2:$Q$301,$AE116),""))</f>
        <v/>
      </c>
      <c r="Y116" s="14">
        <f>IF($AE116="","",IFERROR(INDEX(Players!$R$2:$R$301,$AE116),""))</f>
        <v/>
      </c>
      <c r="AE116">
        <f>IFERROR(MATCH(LARGE(Players!$V$2:$V$301,112),Players!$V$2:$V$301,0),"")</f>
        <v/>
      </c>
    </row>
    <row r="117">
      <c r="A117" s="9" t="inlineStr">
        <is>
          <t>10.05</t>
        </is>
      </c>
      <c r="B117" s="18" t="inlineStr">
        <is>
          <t>Team 8</t>
        </is>
      </c>
      <c r="C117" s="19" t="n"/>
      <c r="E117" s="9" t="n">
        <v>113</v>
      </c>
      <c r="F117">
        <f>IF($AE117="","",IFERROR(INDEX(Players!$B$2:$B$301,$AE117),""))</f>
        <v/>
      </c>
      <c r="G117">
        <f>IF($AE117="","",IFERROR(INDEX(Players!$D$2:$D$301,$AE117),""))</f>
        <v/>
      </c>
      <c r="H117">
        <f>IF($AE117="","",IFERROR(INDEX(Players!$C$2:$C$301,$AE117),""))</f>
        <v/>
      </c>
      <c r="I117" s="12">
        <f>IF($AE117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-113+0.5)/3.5))))</f>
        <v/>
      </c>
      <c r="J117" s="12">
        <f>IF($AE117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-113+0.5)/3.5))))</f>
        <v/>
      </c>
      <c r="K117" s="13">
        <f>IF($AE117="","",IFERROR(INDEX(Players!$U$2:$U$301,$AE117),""))</f>
        <v/>
      </c>
      <c r="L117" s="13">
        <f>IF($AE117="","",IFERROR(INDEX(Players!$X$2:$X$301,$AE117),""))</f>
        <v/>
      </c>
      <c r="M117" s="14">
        <f>IF($AE117="","",IFERROR(INDEX(Players!$K$2:$K$301,$AE117),""))</f>
        <v/>
      </c>
      <c r="N117" s="14">
        <f>IF($AE117="","",IFERROR(INDEX(Players!$H$2:$H$301,$AE117),""))</f>
        <v/>
      </c>
      <c r="O117" s="15">
        <f>IF($AE117="","",IFERROR(INDEX(Players!$G$2:$G$301,$AE117),""))</f>
        <v/>
      </c>
      <c r="P117" s="14">
        <f>IF($AE117="","",IFERROR(INDEX(Players!$I$2:$I$301,$AE117),""))</f>
        <v/>
      </c>
      <c r="Q117" s="14">
        <f>IF($AE117="","",IFERROR(INDEX(Players!$F$2:$F$301,$AE117),""))</f>
        <v/>
      </c>
      <c r="R117" s="14">
        <f>IF($AE117="","",IFERROR(INDEX(Players!$J$2:$J$301,$AE117),""))</f>
        <v/>
      </c>
      <c r="S117" s="15">
        <f>IF($AE117="","",IFERROR(INDEX(Players!$L$2:$L$301,$AE117),""))</f>
        <v/>
      </c>
      <c r="T117" s="14">
        <f>IF($AE117="","",IFERROR(INDEX(Players!$M$2:$M$301,$AE117),""))</f>
        <v/>
      </c>
      <c r="U117" s="14">
        <f>IF($AE117="","",IFERROR(INDEX(Players!$N$2:$N$301,$AE117),""))</f>
        <v/>
      </c>
      <c r="V117" s="14">
        <f>IF($AE117="","",IFERROR(INDEX(Players!$O$2:$O$301,$AE117),""))</f>
        <v/>
      </c>
      <c r="W117" s="14">
        <f>IF($AE117="","",IFERROR(INDEX(Players!$P$2:$P$301,$AE117),""))</f>
        <v/>
      </c>
      <c r="X117" s="14">
        <f>IF($AE117="","",IFERROR(INDEX(Players!$Q$2:$Q$301,$AE117),""))</f>
        <v/>
      </c>
      <c r="Y117" s="14">
        <f>IF($AE117="","",IFERROR(INDEX(Players!$R$2:$R$301,$AE117),""))</f>
        <v/>
      </c>
      <c r="AE117">
        <f>IFERROR(MATCH(LARGE(Players!$V$2:$V$301,113),Players!$V$2:$V$301,0),"")</f>
        <v/>
      </c>
    </row>
    <row r="118">
      <c r="A118" s="9" t="inlineStr">
        <is>
          <t>10.06</t>
        </is>
      </c>
      <c r="B118" s="18" t="inlineStr">
        <is>
          <t>Team 7</t>
        </is>
      </c>
      <c r="C118" s="19" t="n"/>
      <c r="E118" s="9" t="n">
        <v>114</v>
      </c>
      <c r="F118">
        <f>IF($AE118="","",IFERROR(INDEX(Players!$B$2:$B$301,$AE118),""))</f>
        <v/>
      </c>
      <c r="G118">
        <f>IF($AE118="","",IFERROR(INDEX(Players!$D$2:$D$301,$AE118),""))</f>
        <v/>
      </c>
      <c r="H118">
        <f>IF($AE118="","",IFERROR(INDEX(Players!$C$2:$C$301,$AE118),""))</f>
        <v/>
      </c>
      <c r="I118" s="12">
        <f>IF($AE118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-114+0.5)/3.5))))</f>
        <v/>
      </c>
      <c r="J118" s="12">
        <f>IF($AE118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-114+0.5)/3.5))))</f>
        <v/>
      </c>
      <c r="K118" s="13">
        <f>IF($AE118="","",IFERROR(INDEX(Players!$U$2:$U$301,$AE118),""))</f>
        <v/>
      </c>
      <c r="L118" s="13">
        <f>IF($AE118="","",IFERROR(INDEX(Players!$X$2:$X$301,$AE118),""))</f>
        <v/>
      </c>
      <c r="M118" s="14">
        <f>IF($AE118="","",IFERROR(INDEX(Players!$K$2:$K$301,$AE118),""))</f>
        <v/>
      </c>
      <c r="N118" s="14">
        <f>IF($AE118="","",IFERROR(INDEX(Players!$H$2:$H$301,$AE118),""))</f>
        <v/>
      </c>
      <c r="O118" s="15">
        <f>IF($AE118="","",IFERROR(INDEX(Players!$G$2:$G$301,$AE118),""))</f>
        <v/>
      </c>
      <c r="P118" s="14">
        <f>IF($AE118="","",IFERROR(INDEX(Players!$I$2:$I$301,$AE118),""))</f>
        <v/>
      </c>
      <c r="Q118" s="14">
        <f>IF($AE118="","",IFERROR(INDEX(Players!$F$2:$F$301,$AE118),""))</f>
        <v/>
      </c>
      <c r="R118" s="14">
        <f>IF($AE118="","",IFERROR(INDEX(Players!$J$2:$J$301,$AE118),""))</f>
        <v/>
      </c>
      <c r="S118" s="15">
        <f>IF($AE118="","",IFERROR(INDEX(Players!$L$2:$L$301,$AE118),""))</f>
        <v/>
      </c>
      <c r="T118" s="14">
        <f>IF($AE118="","",IFERROR(INDEX(Players!$M$2:$M$301,$AE118),""))</f>
        <v/>
      </c>
      <c r="U118" s="14">
        <f>IF($AE118="","",IFERROR(INDEX(Players!$N$2:$N$301,$AE118),""))</f>
        <v/>
      </c>
      <c r="V118" s="14">
        <f>IF($AE118="","",IFERROR(INDEX(Players!$O$2:$O$301,$AE118),""))</f>
        <v/>
      </c>
      <c r="W118" s="14">
        <f>IF($AE118="","",IFERROR(INDEX(Players!$P$2:$P$301,$AE118),""))</f>
        <v/>
      </c>
      <c r="X118" s="14">
        <f>IF($AE118="","",IFERROR(INDEX(Players!$Q$2:$Q$301,$AE118),""))</f>
        <v/>
      </c>
      <c r="Y118" s="14">
        <f>IF($AE118="","",IFERROR(INDEX(Players!$R$2:$R$301,$AE118),""))</f>
        <v/>
      </c>
      <c r="AE118">
        <f>IFERROR(MATCH(LARGE(Players!$V$2:$V$301,114),Players!$V$2:$V$301,0),"")</f>
        <v/>
      </c>
    </row>
    <row r="119">
      <c r="A119" s="9" t="inlineStr">
        <is>
          <t>10.07</t>
        </is>
      </c>
      <c r="B119" s="18" t="inlineStr">
        <is>
          <t>Team 6</t>
        </is>
      </c>
      <c r="C119" s="19" t="n"/>
      <c r="E119" s="9" t="n">
        <v>115</v>
      </c>
      <c r="F119">
        <f>IF($AE119="","",IFERROR(INDEX(Players!$B$2:$B$301,$AE119),""))</f>
        <v/>
      </c>
      <c r="G119">
        <f>IF($AE119="","",IFERROR(INDEX(Players!$D$2:$D$301,$AE119),""))</f>
        <v/>
      </c>
      <c r="H119">
        <f>IF($AE119="","",IFERROR(INDEX(Players!$C$2:$C$301,$AE119),""))</f>
        <v/>
      </c>
      <c r="I119" s="12">
        <f>IF($AE119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-115+0.5)/3.5))))</f>
        <v/>
      </c>
      <c r="J119" s="12">
        <f>IF($AE119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-115+0.5)/3.5))))</f>
        <v/>
      </c>
      <c r="K119" s="13">
        <f>IF($AE119="","",IFERROR(INDEX(Players!$U$2:$U$301,$AE119),""))</f>
        <v/>
      </c>
      <c r="L119" s="13">
        <f>IF($AE119="","",IFERROR(INDEX(Players!$X$2:$X$301,$AE119),""))</f>
        <v/>
      </c>
      <c r="M119" s="14">
        <f>IF($AE119="","",IFERROR(INDEX(Players!$K$2:$K$301,$AE119),""))</f>
        <v/>
      </c>
      <c r="N119" s="14">
        <f>IF($AE119="","",IFERROR(INDEX(Players!$H$2:$H$301,$AE119),""))</f>
        <v/>
      </c>
      <c r="O119" s="15">
        <f>IF($AE119="","",IFERROR(INDEX(Players!$G$2:$G$301,$AE119),""))</f>
        <v/>
      </c>
      <c r="P119" s="14">
        <f>IF($AE119="","",IFERROR(INDEX(Players!$I$2:$I$301,$AE119),""))</f>
        <v/>
      </c>
      <c r="Q119" s="14">
        <f>IF($AE119="","",IFERROR(INDEX(Players!$F$2:$F$301,$AE119),""))</f>
        <v/>
      </c>
      <c r="R119" s="14">
        <f>IF($AE119="","",IFERROR(INDEX(Players!$J$2:$J$301,$AE119),""))</f>
        <v/>
      </c>
      <c r="S119" s="15">
        <f>IF($AE119="","",IFERROR(INDEX(Players!$L$2:$L$301,$AE119),""))</f>
        <v/>
      </c>
      <c r="T119" s="14">
        <f>IF($AE119="","",IFERROR(INDEX(Players!$M$2:$M$301,$AE119),""))</f>
        <v/>
      </c>
      <c r="U119" s="14">
        <f>IF($AE119="","",IFERROR(INDEX(Players!$N$2:$N$301,$AE119),""))</f>
        <v/>
      </c>
      <c r="V119" s="14">
        <f>IF($AE119="","",IFERROR(INDEX(Players!$O$2:$O$301,$AE119),""))</f>
        <v/>
      </c>
      <c r="W119" s="14">
        <f>IF($AE119="","",IFERROR(INDEX(Players!$P$2:$P$301,$AE119),""))</f>
        <v/>
      </c>
      <c r="X119" s="14">
        <f>IF($AE119="","",IFERROR(INDEX(Players!$Q$2:$Q$301,$AE119),""))</f>
        <v/>
      </c>
      <c r="Y119" s="14">
        <f>IF($AE119="","",IFERROR(INDEX(Players!$R$2:$R$301,$AE119),""))</f>
        <v/>
      </c>
      <c r="AE119">
        <f>IFERROR(MATCH(LARGE(Players!$V$2:$V$301,115),Players!$V$2:$V$301,0),"")</f>
        <v/>
      </c>
    </row>
    <row r="120">
      <c r="A120" s="9" t="inlineStr">
        <is>
          <t>10.08</t>
        </is>
      </c>
      <c r="B120" s="18" t="inlineStr">
        <is>
          <t>Team 5</t>
        </is>
      </c>
      <c r="C120" s="19" t="n"/>
      <c r="E120" s="9" t="n">
        <v>116</v>
      </c>
      <c r="F120">
        <f>IF($AE120="","",IFERROR(INDEX(Players!$B$2:$B$301,$AE120),""))</f>
        <v/>
      </c>
      <c r="G120">
        <f>IF($AE120="","",IFERROR(INDEX(Players!$D$2:$D$301,$AE120),""))</f>
        <v/>
      </c>
      <c r="H120">
        <f>IF($AE120="","",IFERROR(INDEX(Players!$C$2:$C$301,$AE120),""))</f>
        <v/>
      </c>
      <c r="I120" s="12">
        <f>IF($AE120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-116+0.5)/3.5))))</f>
        <v/>
      </c>
      <c r="J120" s="12">
        <f>IF($AE120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-116+0.5)/3.5))))</f>
        <v/>
      </c>
      <c r="K120" s="13">
        <f>IF($AE120="","",IFERROR(INDEX(Players!$U$2:$U$301,$AE120),""))</f>
        <v/>
      </c>
      <c r="L120" s="13">
        <f>IF($AE120="","",IFERROR(INDEX(Players!$X$2:$X$301,$AE120),""))</f>
        <v/>
      </c>
      <c r="M120" s="14">
        <f>IF($AE120="","",IFERROR(INDEX(Players!$K$2:$K$301,$AE120),""))</f>
        <v/>
      </c>
      <c r="N120" s="14">
        <f>IF($AE120="","",IFERROR(INDEX(Players!$H$2:$H$301,$AE120),""))</f>
        <v/>
      </c>
      <c r="O120" s="15">
        <f>IF($AE120="","",IFERROR(INDEX(Players!$G$2:$G$301,$AE120),""))</f>
        <v/>
      </c>
      <c r="P120" s="14">
        <f>IF($AE120="","",IFERROR(INDEX(Players!$I$2:$I$301,$AE120),""))</f>
        <v/>
      </c>
      <c r="Q120" s="14">
        <f>IF($AE120="","",IFERROR(INDEX(Players!$F$2:$F$301,$AE120),""))</f>
        <v/>
      </c>
      <c r="R120" s="14">
        <f>IF($AE120="","",IFERROR(INDEX(Players!$J$2:$J$301,$AE120),""))</f>
        <v/>
      </c>
      <c r="S120" s="15">
        <f>IF($AE120="","",IFERROR(INDEX(Players!$L$2:$L$301,$AE120),""))</f>
        <v/>
      </c>
      <c r="T120" s="14">
        <f>IF($AE120="","",IFERROR(INDEX(Players!$M$2:$M$301,$AE120),""))</f>
        <v/>
      </c>
      <c r="U120" s="14">
        <f>IF($AE120="","",IFERROR(INDEX(Players!$N$2:$N$301,$AE120),""))</f>
        <v/>
      </c>
      <c r="V120" s="14">
        <f>IF($AE120="","",IFERROR(INDEX(Players!$O$2:$O$301,$AE120),""))</f>
        <v/>
      </c>
      <c r="W120" s="14">
        <f>IF($AE120="","",IFERROR(INDEX(Players!$P$2:$P$301,$AE120),""))</f>
        <v/>
      </c>
      <c r="X120" s="14">
        <f>IF($AE120="","",IFERROR(INDEX(Players!$Q$2:$Q$301,$AE120),""))</f>
        <v/>
      </c>
      <c r="Y120" s="14">
        <f>IF($AE120="","",IFERROR(INDEX(Players!$R$2:$R$301,$AE120),""))</f>
        <v/>
      </c>
      <c r="AE120">
        <f>IFERROR(MATCH(LARGE(Players!$V$2:$V$301,116),Players!$V$2:$V$301,0),"")</f>
        <v/>
      </c>
    </row>
    <row r="121">
      <c r="A121" s="9" t="inlineStr">
        <is>
          <t>10.09</t>
        </is>
      </c>
      <c r="B121" s="18" t="inlineStr">
        <is>
          <t>Team 4</t>
        </is>
      </c>
      <c r="C121" s="19" t="n"/>
      <c r="E121" s="9" t="n">
        <v>117</v>
      </c>
      <c r="F121">
        <f>IF($AE121="","",IFERROR(INDEX(Players!$B$2:$B$301,$AE121),""))</f>
        <v/>
      </c>
      <c r="G121">
        <f>IF($AE121="","",IFERROR(INDEX(Players!$D$2:$D$301,$AE121),""))</f>
        <v/>
      </c>
      <c r="H121">
        <f>IF($AE121="","",IFERROR(INDEX(Players!$C$2:$C$301,$AE121),""))</f>
        <v/>
      </c>
      <c r="I121" s="12">
        <f>IF($AE121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-117+0.5)/3.5))))</f>
        <v/>
      </c>
      <c r="J121" s="12">
        <f>IF($AE121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-117+0.5)/3.5))))</f>
        <v/>
      </c>
      <c r="K121" s="13">
        <f>IF($AE121="","",IFERROR(INDEX(Players!$U$2:$U$301,$AE121),""))</f>
        <v/>
      </c>
      <c r="L121" s="13">
        <f>IF($AE121="","",IFERROR(INDEX(Players!$X$2:$X$301,$AE121),""))</f>
        <v/>
      </c>
      <c r="M121" s="14">
        <f>IF($AE121="","",IFERROR(INDEX(Players!$K$2:$K$301,$AE121),""))</f>
        <v/>
      </c>
      <c r="N121" s="14">
        <f>IF($AE121="","",IFERROR(INDEX(Players!$H$2:$H$301,$AE121),""))</f>
        <v/>
      </c>
      <c r="O121" s="15">
        <f>IF($AE121="","",IFERROR(INDEX(Players!$G$2:$G$301,$AE121),""))</f>
        <v/>
      </c>
      <c r="P121" s="14">
        <f>IF($AE121="","",IFERROR(INDEX(Players!$I$2:$I$301,$AE121),""))</f>
        <v/>
      </c>
      <c r="Q121" s="14">
        <f>IF($AE121="","",IFERROR(INDEX(Players!$F$2:$F$301,$AE121),""))</f>
        <v/>
      </c>
      <c r="R121" s="14">
        <f>IF($AE121="","",IFERROR(INDEX(Players!$J$2:$J$301,$AE121),""))</f>
        <v/>
      </c>
      <c r="S121" s="15">
        <f>IF($AE121="","",IFERROR(INDEX(Players!$L$2:$L$301,$AE121),""))</f>
        <v/>
      </c>
      <c r="T121" s="14">
        <f>IF($AE121="","",IFERROR(INDEX(Players!$M$2:$M$301,$AE121),""))</f>
        <v/>
      </c>
      <c r="U121" s="14">
        <f>IF($AE121="","",IFERROR(INDEX(Players!$N$2:$N$301,$AE121),""))</f>
        <v/>
      </c>
      <c r="V121" s="14">
        <f>IF($AE121="","",IFERROR(INDEX(Players!$O$2:$O$301,$AE121),""))</f>
        <v/>
      </c>
      <c r="W121" s="14">
        <f>IF($AE121="","",IFERROR(INDEX(Players!$P$2:$P$301,$AE121),""))</f>
        <v/>
      </c>
      <c r="X121" s="14">
        <f>IF($AE121="","",IFERROR(INDEX(Players!$Q$2:$Q$301,$AE121),""))</f>
        <v/>
      </c>
      <c r="Y121" s="14">
        <f>IF($AE121="","",IFERROR(INDEX(Players!$R$2:$R$301,$AE121),""))</f>
        <v/>
      </c>
      <c r="AE121">
        <f>IFERROR(MATCH(LARGE(Players!$V$2:$V$301,117),Players!$V$2:$V$301,0),"")</f>
        <v/>
      </c>
    </row>
    <row r="122">
      <c r="A122" s="9" t="inlineStr">
        <is>
          <t>10.10</t>
        </is>
      </c>
      <c r="B122" s="18" t="inlineStr">
        <is>
          <t>Team 3</t>
        </is>
      </c>
      <c r="C122" s="19" t="n"/>
      <c r="E122" s="9" t="n">
        <v>118</v>
      </c>
      <c r="F122">
        <f>IF($AE122="","",IFERROR(INDEX(Players!$B$2:$B$301,$AE122),""))</f>
        <v/>
      </c>
      <c r="G122">
        <f>IF($AE122="","",IFERROR(INDEX(Players!$D$2:$D$301,$AE122),""))</f>
        <v/>
      </c>
      <c r="H122">
        <f>IF($AE122="","",IFERROR(INDEX(Players!$C$2:$C$301,$AE122),""))</f>
        <v/>
      </c>
      <c r="I122" s="12">
        <f>IF($AE122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-118+0.5)/3.5))))</f>
        <v/>
      </c>
      <c r="J122" s="12">
        <f>IF($AE122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-118+0.5)/3.5))))</f>
        <v/>
      </c>
      <c r="K122" s="13">
        <f>IF($AE122="","",IFERROR(INDEX(Players!$U$2:$U$301,$AE122),""))</f>
        <v/>
      </c>
      <c r="L122" s="13">
        <f>IF($AE122="","",IFERROR(INDEX(Players!$X$2:$X$301,$AE122),""))</f>
        <v/>
      </c>
      <c r="M122" s="14">
        <f>IF($AE122="","",IFERROR(INDEX(Players!$K$2:$K$301,$AE122),""))</f>
        <v/>
      </c>
      <c r="N122" s="14">
        <f>IF($AE122="","",IFERROR(INDEX(Players!$H$2:$H$301,$AE122),""))</f>
        <v/>
      </c>
      <c r="O122" s="15">
        <f>IF($AE122="","",IFERROR(INDEX(Players!$G$2:$G$301,$AE122),""))</f>
        <v/>
      </c>
      <c r="P122" s="14">
        <f>IF($AE122="","",IFERROR(INDEX(Players!$I$2:$I$301,$AE122),""))</f>
        <v/>
      </c>
      <c r="Q122" s="14">
        <f>IF($AE122="","",IFERROR(INDEX(Players!$F$2:$F$301,$AE122),""))</f>
        <v/>
      </c>
      <c r="R122" s="14">
        <f>IF($AE122="","",IFERROR(INDEX(Players!$J$2:$J$301,$AE122),""))</f>
        <v/>
      </c>
      <c r="S122" s="15">
        <f>IF($AE122="","",IFERROR(INDEX(Players!$L$2:$L$301,$AE122),""))</f>
        <v/>
      </c>
      <c r="T122" s="14">
        <f>IF($AE122="","",IFERROR(INDEX(Players!$M$2:$M$301,$AE122),""))</f>
        <v/>
      </c>
      <c r="U122" s="14">
        <f>IF($AE122="","",IFERROR(INDEX(Players!$N$2:$N$301,$AE122),""))</f>
        <v/>
      </c>
      <c r="V122" s="14">
        <f>IF($AE122="","",IFERROR(INDEX(Players!$O$2:$O$301,$AE122),""))</f>
        <v/>
      </c>
      <c r="W122" s="14">
        <f>IF($AE122="","",IFERROR(INDEX(Players!$P$2:$P$301,$AE122),""))</f>
        <v/>
      </c>
      <c r="X122" s="14">
        <f>IF($AE122="","",IFERROR(INDEX(Players!$Q$2:$Q$301,$AE122),""))</f>
        <v/>
      </c>
      <c r="Y122" s="14">
        <f>IF($AE122="","",IFERROR(INDEX(Players!$R$2:$R$301,$AE122),""))</f>
        <v/>
      </c>
      <c r="AE122">
        <f>IFERROR(MATCH(LARGE(Players!$V$2:$V$301,118),Players!$V$2:$V$301,0),"")</f>
        <v/>
      </c>
    </row>
    <row r="123">
      <c r="A123" s="9" t="inlineStr">
        <is>
          <t>10.11</t>
        </is>
      </c>
      <c r="B123" s="18" t="inlineStr">
        <is>
          <t>Team 2</t>
        </is>
      </c>
      <c r="C123" s="19" t="n"/>
      <c r="E123" s="9" t="n">
        <v>119</v>
      </c>
      <c r="F123">
        <f>IF($AE123="","",IFERROR(INDEX(Players!$B$2:$B$301,$AE123),""))</f>
        <v/>
      </c>
      <c r="G123">
        <f>IF($AE123="","",IFERROR(INDEX(Players!$D$2:$D$301,$AE123),""))</f>
        <v/>
      </c>
      <c r="H123">
        <f>IF($AE123="","",IFERROR(INDEX(Players!$C$2:$C$301,$AE123),""))</f>
        <v/>
      </c>
      <c r="I123" s="12">
        <f>IF($AE123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-119+0.5)/3.5))))</f>
        <v/>
      </c>
      <c r="J123" s="12">
        <f>IF($AE123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-119+0.5)/3.5))))</f>
        <v/>
      </c>
      <c r="K123" s="13">
        <f>IF($AE123="","",IFERROR(INDEX(Players!$U$2:$U$301,$AE123),""))</f>
        <v/>
      </c>
      <c r="L123" s="13">
        <f>IF($AE123="","",IFERROR(INDEX(Players!$X$2:$X$301,$AE123),""))</f>
        <v/>
      </c>
      <c r="M123" s="14">
        <f>IF($AE123="","",IFERROR(INDEX(Players!$K$2:$K$301,$AE123),""))</f>
        <v/>
      </c>
      <c r="N123" s="14">
        <f>IF($AE123="","",IFERROR(INDEX(Players!$H$2:$H$301,$AE123),""))</f>
        <v/>
      </c>
      <c r="O123" s="15">
        <f>IF($AE123="","",IFERROR(INDEX(Players!$G$2:$G$301,$AE123),""))</f>
        <v/>
      </c>
      <c r="P123" s="14">
        <f>IF($AE123="","",IFERROR(INDEX(Players!$I$2:$I$301,$AE123),""))</f>
        <v/>
      </c>
      <c r="Q123" s="14">
        <f>IF($AE123="","",IFERROR(INDEX(Players!$F$2:$F$301,$AE123),""))</f>
        <v/>
      </c>
      <c r="R123" s="14">
        <f>IF($AE123="","",IFERROR(INDEX(Players!$J$2:$J$301,$AE123),""))</f>
        <v/>
      </c>
      <c r="S123" s="15">
        <f>IF($AE123="","",IFERROR(INDEX(Players!$L$2:$L$301,$AE123),""))</f>
        <v/>
      </c>
      <c r="T123" s="14">
        <f>IF($AE123="","",IFERROR(INDEX(Players!$M$2:$M$301,$AE123),""))</f>
        <v/>
      </c>
      <c r="U123" s="14">
        <f>IF($AE123="","",IFERROR(INDEX(Players!$N$2:$N$301,$AE123),""))</f>
        <v/>
      </c>
      <c r="V123" s="14">
        <f>IF($AE123="","",IFERROR(INDEX(Players!$O$2:$O$301,$AE123),""))</f>
        <v/>
      </c>
      <c r="W123" s="14">
        <f>IF($AE123="","",IFERROR(INDEX(Players!$P$2:$P$301,$AE123),""))</f>
        <v/>
      </c>
      <c r="X123" s="14">
        <f>IF($AE123="","",IFERROR(INDEX(Players!$Q$2:$Q$301,$AE123),""))</f>
        <v/>
      </c>
      <c r="Y123" s="14">
        <f>IF($AE123="","",IFERROR(INDEX(Players!$R$2:$R$301,$AE123),""))</f>
        <v/>
      </c>
      <c r="AE123">
        <f>IFERROR(MATCH(LARGE(Players!$V$2:$V$301,119),Players!$V$2:$V$301,0),"")</f>
        <v/>
      </c>
    </row>
    <row r="124">
      <c r="A124" s="9" t="inlineStr">
        <is>
          <t>10.12</t>
        </is>
      </c>
      <c r="B124" s="10" t="inlineStr">
        <is>
          <t>Team 1</t>
        </is>
      </c>
      <c r="C124" s="11" t="n"/>
      <c r="E124" s="9" t="n">
        <v>120</v>
      </c>
      <c r="F124">
        <f>IF($AE124="","",IFERROR(INDEX(Players!$B$2:$B$301,$AE124),""))</f>
        <v/>
      </c>
      <c r="G124">
        <f>IF($AE124="","",IFERROR(INDEX(Players!$D$2:$D$301,$AE124),""))</f>
        <v/>
      </c>
      <c r="H124">
        <f>IF($AE124="","",IFERROR(INDEX(Players!$C$2:$C$301,$AE124),""))</f>
        <v/>
      </c>
      <c r="I124" s="12">
        <f>IF($AE124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-120+0.5)/3.5))))</f>
        <v/>
      </c>
      <c r="J124" s="12">
        <f>IF($AE124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-120+0.5)/3.5))))</f>
        <v/>
      </c>
      <c r="K124" s="13">
        <f>IF($AE124="","",IFERROR(INDEX(Players!$U$2:$U$301,$AE124),""))</f>
        <v/>
      </c>
      <c r="L124" s="13">
        <f>IF($AE124="","",IFERROR(INDEX(Players!$X$2:$X$301,$AE124),""))</f>
        <v/>
      </c>
      <c r="M124" s="14">
        <f>IF($AE124="","",IFERROR(INDEX(Players!$K$2:$K$301,$AE124),""))</f>
        <v/>
      </c>
      <c r="N124" s="14">
        <f>IF($AE124="","",IFERROR(INDEX(Players!$H$2:$H$301,$AE124),""))</f>
        <v/>
      </c>
      <c r="O124" s="15">
        <f>IF($AE124="","",IFERROR(INDEX(Players!$G$2:$G$301,$AE124),""))</f>
        <v/>
      </c>
      <c r="P124" s="14">
        <f>IF($AE124="","",IFERROR(INDEX(Players!$I$2:$I$301,$AE124),""))</f>
        <v/>
      </c>
      <c r="Q124" s="14">
        <f>IF($AE124="","",IFERROR(INDEX(Players!$F$2:$F$301,$AE124),""))</f>
        <v/>
      </c>
      <c r="R124" s="14">
        <f>IF($AE124="","",IFERROR(INDEX(Players!$J$2:$J$301,$AE124),""))</f>
        <v/>
      </c>
      <c r="S124" s="15">
        <f>IF($AE124="","",IFERROR(INDEX(Players!$L$2:$L$301,$AE124),""))</f>
        <v/>
      </c>
      <c r="T124" s="14">
        <f>IF($AE124="","",IFERROR(INDEX(Players!$M$2:$M$301,$AE124),""))</f>
        <v/>
      </c>
      <c r="U124" s="14">
        <f>IF($AE124="","",IFERROR(INDEX(Players!$N$2:$N$301,$AE124),""))</f>
        <v/>
      </c>
      <c r="V124" s="14">
        <f>IF($AE124="","",IFERROR(INDEX(Players!$O$2:$O$301,$AE124),""))</f>
        <v/>
      </c>
      <c r="W124" s="14">
        <f>IF($AE124="","",IFERROR(INDEX(Players!$P$2:$P$301,$AE124),""))</f>
        <v/>
      </c>
      <c r="X124" s="14">
        <f>IF($AE124="","",IFERROR(INDEX(Players!$Q$2:$Q$301,$AE124),""))</f>
        <v/>
      </c>
      <c r="Y124" s="14">
        <f>IF($AE124="","",IFERROR(INDEX(Players!$R$2:$R$301,$AE124),""))</f>
        <v/>
      </c>
      <c r="AE124">
        <f>IFERROR(MATCH(LARGE(Players!$V$2:$V$301,120),Players!$V$2:$V$301,0),"")</f>
        <v/>
      </c>
    </row>
    <row r="125">
      <c r="A125" s="9" t="inlineStr">
        <is>
          <t>11.01</t>
        </is>
      </c>
      <c r="B125" s="10" t="inlineStr">
        <is>
          <t>Team 1</t>
        </is>
      </c>
      <c r="C125" s="11" t="n"/>
      <c r="E125" s="9" t="n">
        <v>121</v>
      </c>
      <c r="F125">
        <f>IF($AE125="","",IFERROR(INDEX(Players!$B$2:$B$301,$AE125),""))</f>
        <v/>
      </c>
      <c r="G125">
        <f>IF($AE125="","",IFERROR(INDEX(Players!$D$2:$D$301,$AE125),""))</f>
        <v/>
      </c>
      <c r="H125">
        <f>IF($AE125="","",IFERROR(INDEX(Players!$C$2:$C$301,$AE125),""))</f>
        <v/>
      </c>
      <c r="I125" s="12">
        <f>IF($AE125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-121+0.5)/3.5))))</f>
        <v/>
      </c>
      <c r="J125" s="12">
        <f>IF($AE125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-121+0.5)/3.5))))</f>
        <v/>
      </c>
      <c r="K125" s="13">
        <f>IF($AE125="","",IFERROR(INDEX(Players!$U$2:$U$301,$AE125),""))</f>
        <v/>
      </c>
      <c r="L125" s="13">
        <f>IF($AE125="","",IFERROR(INDEX(Players!$X$2:$X$301,$AE125),""))</f>
        <v/>
      </c>
      <c r="M125" s="14">
        <f>IF($AE125="","",IFERROR(INDEX(Players!$K$2:$K$301,$AE125),""))</f>
        <v/>
      </c>
      <c r="N125" s="14">
        <f>IF($AE125="","",IFERROR(INDEX(Players!$H$2:$H$301,$AE125),""))</f>
        <v/>
      </c>
      <c r="O125" s="15">
        <f>IF($AE125="","",IFERROR(INDEX(Players!$G$2:$G$301,$AE125),""))</f>
        <v/>
      </c>
      <c r="P125" s="14">
        <f>IF($AE125="","",IFERROR(INDEX(Players!$I$2:$I$301,$AE125),""))</f>
        <v/>
      </c>
      <c r="Q125" s="14">
        <f>IF($AE125="","",IFERROR(INDEX(Players!$F$2:$F$301,$AE125),""))</f>
        <v/>
      </c>
      <c r="R125" s="14">
        <f>IF($AE125="","",IFERROR(INDEX(Players!$J$2:$J$301,$AE125),""))</f>
        <v/>
      </c>
      <c r="S125" s="15">
        <f>IF($AE125="","",IFERROR(INDEX(Players!$L$2:$L$301,$AE125),""))</f>
        <v/>
      </c>
      <c r="T125" s="14">
        <f>IF($AE125="","",IFERROR(INDEX(Players!$M$2:$M$301,$AE125),""))</f>
        <v/>
      </c>
      <c r="U125" s="14">
        <f>IF($AE125="","",IFERROR(INDEX(Players!$N$2:$N$301,$AE125),""))</f>
        <v/>
      </c>
      <c r="V125" s="14">
        <f>IF($AE125="","",IFERROR(INDEX(Players!$O$2:$O$301,$AE125),""))</f>
        <v/>
      </c>
      <c r="W125" s="14">
        <f>IF($AE125="","",IFERROR(INDEX(Players!$P$2:$P$301,$AE125),""))</f>
        <v/>
      </c>
      <c r="X125" s="14">
        <f>IF($AE125="","",IFERROR(INDEX(Players!$Q$2:$Q$301,$AE125),""))</f>
        <v/>
      </c>
      <c r="Y125" s="14">
        <f>IF($AE125="","",IFERROR(INDEX(Players!$R$2:$R$301,$AE125),""))</f>
        <v/>
      </c>
      <c r="AE125">
        <f>IFERROR(MATCH(LARGE(Players!$V$2:$V$301,121),Players!$V$2:$V$301,0),"")</f>
        <v/>
      </c>
    </row>
    <row r="126">
      <c r="A126" s="9" t="inlineStr">
        <is>
          <t>11.02</t>
        </is>
      </c>
      <c r="B126" s="18" t="inlineStr">
        <is>
          <t>Team 2</t>
        </is>
      </c>
      <c r="C126" s="19" t="n"/>
      <c r="E126" s="9" t="n">
        <v>122</v>
      </c>
      <c r="F126">
        <f>IF($AE126="","",IFERROR(INDEX(Players!$B$2:$B$301,$AE126),""))</f>
        <v/>
      </c>
      <c r="G126">
        <f>IF($AE126="","",IFERROR(INDEX(Players!$D$2:$D$301,$AE126),""))</f>
        <v/>
      </c>
      <c r="H126">
        <f>IF($AE126="","",IFERROR(INDEX(Players!$C$2:$C$301,$AE126),""))</f>
        <v/>
      </c>
      <c r="I126" s="12">
        <f>IF($AE126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-122+0.5)/3.5))))</f>
        <v/>
      </c>
      <c r="J126" s="12">
        <f>IF($AE126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-122+0.5)/3.5))))</f>
        <v/>
      </c>
      <c r="K126" s="13">
        <f>IF($AE126="","",IFERROR(INDEX(Players!$U$2:$U$301,$AE126),""))</f>
        <v/>
      </c>
      <c r="L126" s="13">
        <f>IF($AE126="","",IFERROR(INDEX(Players!$X$2:$X$301,$AE126),""))</f>
        <v/>
      </c>
      <c r="M126" s="14">
        <f>IF($AE126="","",IFERROR(INDEX(Players!$K$2:$K$301,$AE126),""))</f>
        <v/>
      </c>
      <c r="N126" s="14">
        <f>IF($AE126="","",IFERROR(INDEX(Players!$H$2:$H$301,$AE126),""))</f>
        <v/>
      </c>
      <c r="O126" s="15">
        <f>IF($AE126="","",IFERROR(INDEX(Players!$G$2:$G$301,$AE126),""))</f>
        <v/>
      </c>
      <c r="P126" s="14">
        <f>IF($AE126="","",IFERROR(INDEX(Players!$I$2:$I$301,$AE126),""))</f>
        <v/>
      </c>
      <c r="Q126" s="14">
        <f>IF($AE126="","",IFERROR(INDEX(Players!$F$2:$F$301,$AE126),""))</f>
        <v/>
      </c>
      <c r="R126" s="14">
        <f>IF($AE126="","",IFERROR(INDEX(Players!$J$2:$J$301,$AE126),""))</f>
        <v/>
      </c>
      <c r="S126" s="15">
        <f>IF($AE126="","",IFERROR(INDEX(Players!$L$2:$L$301,$AE126),""))</f>
        <v/>
      </c>
      <c r="T126" s="14">
        <f>IF($AE126="","",IFERROR(INDEX(Players!$M$2:$M$301,$AE126),""))</f>
        <v/>
      </c>
      <c r="U126" s="14">
        <f>IF($AE126="","",IFERROR(INDEX(Players!$N$2:$N$301,$AE126),""))</f>
        <v/>
      </c>
      <c r="V126" s="14">
        <f>IF($AE126="","",IFERROR(INDEX(Players!$O$2:$O$301,$AE126),""))</f>
        <v/>
      </c>
      <c r="W126" s="14">
        <f>IF($AE126="","",IFERROR(INDEX(Players!$P$2:$P$301,$AE126),""))</f>
        <v/>
      </c>
      <c r="X126" s="14">
        <f>IF($AE126="","",IFERROR(INDEX(Players!$Q$2:$Q$301,$AE126),""))</f>
        <v/>
      </c>
      <c r="Y126" s="14">
        <f>IF($AE126="","",IFERROR(INDEX(Players!$R$2:$R$301,$AE126),""))</f>
        <v/>
      </c>
      <c r="AE126">
        <f>IFERROR(MATCH(LARGE(Players!$V$2:$V$301,122),Players!$V$2:$V$301,0),"")</f>
        <v/>
      </c>
    </row>
    <row r="127">
      <c r="A127" s="9" t="inlineStr">
        <is>
          <t>11.03</t>
        </is>
      </c>
      <c r="B127" s="18" t="inlineStr">
        <is>
          <t>Team 3</t>
        </is>
      </c>
      <c r="C127" s="19" t="n"/>
      <c r="E127" s="9" t="n">
        <v>123</v>
      </c>
      <c r="F127">
        <f>IF($AE127="","",IFERROR(INDEX(Players!$B$2:$B$301,$AE127),""))</f>
        <v/>
      </c>
      <c r="G127">
        <f>IF($AE127="","",IFERROR(INDEX(Players!$D$2:$D$301,$AE127),""))</f>
        <v/>
      </c>
      <c r="H127">
        <f>IF($AE127="","",IFERROR(INDEX(Players!$C$2:$C$301,$AE127),""))</f>
        <v/>
      </c>
      <c r="I127" s="12">
        <f>IF($AE127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-123+0.5)/3.5))))</f>
        <v/>
      </c>
      <c r="J127" s="12">
        <f>IF($AE127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-123+0.5)/3.5))))</f>
        <v/>
      </c>
      <c r="K127" s="13">
        <f>IF($AE127="","",IFERROR(INDEX(Players!$U$2:$U$301,$AE127),""))</f>
        <v/>
      </c>
      <c r="L127" s="13">
        <f>IF($AE127="","",IFERROR(INDEX(Players!$X$2:$X$301,$AE127),""))</f>
        <v/>
      </c>
      <c r="M127" s="14">
        <f>IF($AE127="","",IFERROR(INDEX(Players!$K$2:$K$301,$AE127),""))</f>
        <v/>
      </c>
      <c r="N127" s="14">
        <f>IF($AE127="","",IFERROR(INDEX(Players!$H$2:$H$301,$AE127),""))</f>
        <v/>
      </c>
      <c r="O127" s="15">
        <f>IF($AE127="","",IFERROR(INDEX(Players!$G$2:$G$301,$AE127),""))</f>
        <v/>
      </c>
      <c r="P127" s="14">
        <f>IF($AE127="","",IFERROR(INDEX(Players!$I$2:$I$301,$AE127),""))</f>
        <v/>
      </c>
      <c r="Q127" s="14">
        <f>IF($AE127="","",IFERROR(INDEX(Players!$F$2:$F$301,$AE127),""))</f>
        <v/>
      </c>
      <c r="R127" s="14">
        <f>IF($AE127="","",IFERROR(INDEX(Players!$J$2:$J$301,$AE127),""))</f>
        <v/>
      </c>
      <c r="S127" s="15">
        <f>IF($AE127="","",IFERROR(INDEX(Players!$L$2:$L$301,$AE127),""))</f>
        <v/>
      </c>
      <c r="T127" s="14">
        <f>IF($AE127="","",IFERROR(INDEX(Players!$M$2:$M$301,$AE127),""))</f>
        <v/>
      </c>
      <c r="U127" s="14">
        <f>IF($AE127="","",IFERROR(INDEX(Players!$N$2:$N$301,$AE127),""))</f>
        <v/>
      </c>
      <c r="V127" s="14">
        <f>IF($AE127="","",IFERROR(INDEX(Players!$O$2:$O$301,$AE127),""))</f>
        <v/>
      </c>
      <c r="W127" s="14">
        <f>IF($AE127="","",IFERROR(INDEX(Players!$P$2:$P$301,$AE127),""))</f>
        <v/>
      </c>
      <c r="X127" s="14">
        <f>IF($AE127="","",IFERROR(INDEX(Players!$Q$2:$Q$301,$AE127),""))</f>
        <v/>
      </c>
      <c r="Y127" s="14">
        <f>IF($AE127="","",IFERROR(INDEX(Players!$R$2:$R$301,$AE127),""))</f>
        <v/>
      </c>
      <c r="AE127">
        <f>IFERROR(MATCH(LARGE(Players!$V$2:$V$301,123),Players!$V$2:$V$301,0),"")</f>
        <v/>
      </c>
    </row>
    <row r="128">
      <c r="A128" s="9" t="inlineStr">
        <is>
          <t>11.04</t>
        </is>
      </c>
      <c r="B128" s="18" t="inlineStr">
        <is>
          <t>Team 4</t>
        </is>
      </c>
      <c r="C128" s="19" t="n"/>
      <c r="E128" s="9" t="n">
        <v>124</v>
      </c>
      <c r="F128">
        <f>IF($AE128="","",IFERROR(INDEX(Players!$B$2:$B$301,$AE128),""))</f>
        <v/>
      </c>
      <c r="G128">
        <f>IF($AE128="","",IFERROR(INDEX(Players!$D$2:$D$301,$AE128),""))</f>
        <v/>
      </c>
      <c r="H128">
        <f>IF($AE128="","",IFERROR(INDEX(Players!$C$2:$C$301,$AE128),""))</f>
        <v/>
      </c>
      <c r="I128" s="12">
        <f>IF($AE128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-124+0.5)/3.5))))</f>
        <v/>
      </c>
      <c r="J128" s="12">
        <f>IF($AE128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-124+0.5)/3.5))))</f>
        <v/>
      </c>
      <c r="K128" s="13">
        <f>IF($AE128="","",IFERROR(INDEX(Players!$U$2:$U$301,$AE128),""))</f>
        <v/>
      </c>
      <c r="L128" s="13">
        <f>IF($AE128="","",IFERROR(INDEX(Players!$X$2:$X$301,$AE128),""))</f>
        <v/>
      </c>
      <c r="M128" s="14">
        <f>IF($AE128="","",IFERROR(INDEX(Players!$K$2:$K$301,$AE128),""))</f>
        <v/>
      </c>
      <c r="N128" s="14">
        <f>IF($AE128="","",IFERROR(INDEX(Players!$H$2:$H$301,$AE128),""))</f>
        <v/>
      </c>
      <c r="O128" s="15">
        <f>IF($AE128="","",IFERROR(INDEX(Players!$G$2:$G$301,$AE128),""))</f>
        <v/>
      </c>
      <c r="P128" s="14">
        <f>IF($AE128="","",IFERROR(INDEX(Players!$I$2:$I$301,$AE128),""))</f>
        <v/>
      </c>
      <c r="Q128" s="14">
        <f>IF($AE128="","",IFERROR(INDEX(Players!$F$2:$F$301,$AE128),""))</f>
        <v/>
      </c>
      <c r="R128" s="14">
        <f>IF($AE128="","",IFERROR(INDEX(Players!$J$2:$J$301,$AE128),""))</f>
        <v/>
      </c>
      <c r="S128" s="15">
        <f>IF($AE128="","",IFERROR(INDEX(Players!$L$2:$L$301,$AE128),""))</f>
        <v/>
      </c>
      <c r="T128" s="14">
        <f>IF($AE128="","",IFERROR(INDEX(Players!$M$2:$M$301,$AE128),""))</f>
        <v/>
      </c>
      <c r="U128" s="14">
        <f>IF($AE128="","",IFERROR(INDEX(Players!$N$2:$N$301,$AE128),""))</f>
        <v/>
      </c>
      <c r="V128" s="14">
        <f>IF($AE128="","",IFERROR(INDEX(Players!$O$2:$O$301,$AE128),""))</f>
        <v/>
      </c>
      <c r="W128" s="14">
        <f>IF($AE128="","",IFERROR(INDEX(Players!$P$2:$P$301,$AE128),""))</f>
        <v/>
      </c>
      <c r="X128" s="14">
        <f>IF($AE128="","",IFERROR(INDEX(Players!$Q$2:$Q$301,$AE128),""))</f>
        <v/>
      </c>
      <c r="Y128" s="14">
        <f>IF($AE128="","",IFERROR(INDEX(Players!$R$2:$R$301,$AE128),""))</f>
        <v/>
      </c>
      <c r="AE128">
        <f>IFERROR(MATCH(LARGE(Players!$V$2:$V$301,124),Players!$V$2:$V$301,0),"")</f>
        <v/>
      </c>
    </row>
    <row r="129">
      <c r="A129" s="9" t="inlineStr">
        <is>
          <t>11.05</t>
        </is>
      </c>
      <c r="B129" s="18" t="inlineStr">
        <is>
          <t>Team 5</t>
        </is>
      </c>
      <c r="C129" s="19" t="n"/>
      <c r="E129" s="9" t="n">
        <v>125</v>
      </c>
      <c r="F129">
        <f>IF($AE129="","",IFERROR(INDEX(Players!$B$2:$B$301,$AE129),""))</f>
        <v/>
      </c>
      <c r="G129">
        <f>IF($AE129="","",IFERROR(INDEX(Players!$D$2:$D$301,$AE129),""))</f>
        <v/>
      </c>
      <c r="H129">
        <f>IF($AE129="","",IFERROR(INDEX(Players!$C$2:$C$301,$AE129),""))</f>
        <v/>
      </c>
      <c r="I129" s="12">
        <f>IF($AE129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-125+0.5)/3.5))))</f>
        <v/>
      </c>
      <c r="J129" s="12">
        <f>IF($AE129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-125+0.5)/3.5))))</f>
        <v/>
      </c>
      <c r="K129" s="13">
        <f>IF($AE129="","",IFERROR(INDEX(Players!$U$2:$U$301,$AE129),""))</f>
        <v/>
      </c>
      <c r="L129" s="13">
        <f>IF($AE129="","",IFERROR(INDEX(Players!$X$2:$X$301,$AE129),""))</f>
        <v/>
      </c>
      <c r="M129" s="14">
        <f>IF($AE129="","",IFERROR(INDEX(Players!$K$2:$K$301,$AE129),""))</f>
        <v/>
      </c>
      <c r="N129" s="14">
        <f>IF($AE129="","",IFERROR(INDEX(Players!$H$2:$H$301,$AE129),""))</f>
        <v/>
      </c>
      <c r="O129" s="15">
        <f>IF($AE129="","",IFERROR(INDEX(Players!$G$2:$G$301,$AE129),""))</f>
        <v/>
      </c>
      <c r="P129" s="14">
        <f>IF($AE129="","",IFERROR(INDEX(Players!$I$2:$I$301,$AE129),""))</f>
        <v/>
      </c>
      <c r="Q129" s="14">
        <f>IF($AE129="","",IFERROR(INDEX(Players!$F$2:$F$301,$AE129),""))</f>
        <v/>
      </c>
      <c r="R129" s="14">
        <f>IF($AE129="","",IFERROR(INDEX(Players!$J$2:$J$301,$AE129),""))</f>
        <v/>
      </c>
      <c r="S129" s="15">
        <f>IF($AE129="","",IFERROR(INDEX(Players!$L$2:$L$301,$AE129),""))</f>
        <v/>
      </c>
      <c r="T129" s="14">
        <f>IF($AE129="","",IFERROR(INDEX(Players!$M$2:$M$301,$AE129),""))</f>
        <v/>
      </c>
      <c r="U129" s="14">
        <f>IF($AE129="","",IFERROR(INDEX(Players!$N$2:$N$301,$AE129),""))</f>
        <v/>
      </c>
      <c r="V129" s="14">
        <f>IF($AE129="","",IFERROR(INDEX(Players!$O$2:$O$301,$AE129),""))</f>
        <v/>
      </c>
      <c r="W129" s="14">
        <f>IF($AE129="","",IFERROR(INDEX(Players!$P$2:$P$301,$AE129),""))</f>
        <v/>
      </c>
      <c r="X129" s="14">
        <f>IF($AE129="","",IFERROR(INDEX(Players!$Q$2:$Q$301,$AE129),""))</f>
        <v/>
      </c>
      <c r="Y129" s="14">
        <f>IF($AE129="","",IFERROR(INDEX(Players!$R$2:$R$301,$AE129),""))</f>
        <v/>
      </c>
      <c r="AE129">
        <f>IFERROR(MATCH(LARGE(Players!$V$2:$V$301,125),Players!$V$2:$V$301,0),"")</f>
        <v/>
      </c>
    </row>
    <row r="130">
      <c r="A130" s="9" t="inlineStr">
        <is>
          <t>11.06</t>
        </is>
      </c>
      <c r="B130" s="18" t="inlineStr">
        <is>
          <t>Team 6</t>
        </is>
      </c>
      <c r="C130" s="19" t="n"/>
      <c r="E130" s="9" t="n">
        <v>126</v>
      </c>
      <c r="F130">
        <f>IF($AE130="","",IFERROR(INDEX(Players!$B$2:$B$301,$AE130),""))</f>
        <v/>
      </c>
      <c r="G130">
        <f>IF($AE130="","",IFERROR(INDEX(Players!$D$2:$D$301,$AE130),""))</f>
        <v/>
      </c>
      <c r="H130">
        <f>IF($AE130="","",IFERROR(INDEX(Players!$C$2:$C$301,$AE130),""))</f>
        <v/>
      </c>
      <c r="I130" s="12">
        <f>IF($AE130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-126+0.5)/3.5))))</f>
        <v/>
      </c>
      <c r="J130" s="12">
        <f>IF($AE130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-126+0.5)/3.5))))</f>
        <v/>
      </c>
      <c r="K130" s="13">
        <f>IF($AE130="","",IFERROR(INDEX(Players!$U$2:$U$301,$AE130),""))</f>
        <v/>
      </c>
      <c r="L130" s="13">
        <f>IF($AE130="","",IFERROR(INDEX(Players!$X$2:$X$301,$AE130),""))</f>
        <v/>
      </c>
      <c r="M130" s="14">
        <f>IF($AE130="","",IFERROR(INDEX(Players!$K$2:$K$301,$AE130),""))</f>
        <v/>
      </c>
      <c r="N130" s="14">
        <f>IF($AE130="","",IFERROR(INDEX(Players!$H$2:$H$301,$AE130),""))</f>
        <v/>
      </c>
      <c r="O130" s="15">
        <f>IF($AE130="","",IFERROR(INDEX(Players!$G$2:$G$301,$AE130),""))</f>
        <v/>
      </c>
      <c r="P130" s="14">
        <f>IF($AE130="","",IFERROR(INDEX(Players!$I$2:$I$301,$AE130),""))</f>
        <v/>
      </c>
      <c r="Q130" s="14">
        <f>IF($AE130="","",IFERROR(INDEX(Players!$F$2:$F$301,$AE130),""))</f>
        <v/>
      </c>
      <c r="R130" s="14">
        <f>IF($AE130="","",IFERROR(INDEX(Players!$J$2:$J$301,$AE130),""))</f>
        <v/>
      </c>
      <c r="S130" s="15">
        <f>IF($AE130="","",IFERROR(INDEX(Players!$L$2:$L$301,$AE130),""))</f>
        <v/>
      </c>
      <c r="T130" s="14">
        <f>IF($AE130="","",IFERROR(INDEX(Players!$M$2:$M$301,$AE130),""))</f>
        <v/>
      </c>
      <c r="U130" s="14">
        <f>IF($AE130="","",IFERROR(INDEX(Players!$N$2:$N$301,$AE130),""))</f>
        <v/>
      </c>
      <c r="V130" s="14">
        <f>IF($AE130="","",IFERROR(INDEX(Players!$O$2:$O$301,$AE130),""))</f>
        <v/>
      </c>
      <c r="W130" s="14">
        <f>IF($AE130="","",IFERROR(INDEX(Players!$P$2:$P$301,$AE130),""))</f>
        <v/>
      </c>
      <c r="X130" s="14">
        <f>IF($AE130="","",IFERROR(INDEX(Players!$Q$2:$Q$301,$AE130),""))</f>
        <v/>
      </c>
      <c r="Y130" s="14">
        <f>IF($AE130="","",IFERROR(INDEX(Players!$R$2:$R$301,$AE130),""))</f>
        <v/>
      </c>
      <c r="AE130">
        <f>IFERROR(MATCH(LARGE(Players!$V$2:$V$301,126),Players!$V$2:$V$301,0),"")</f>
        <v/>
      </c>
    </row>
    <row r="131">
      <c r="A131" s="9" t="inlineStr">
        <is>
          <t>11.07</t>
        </is>
      </c>
      <c r="B131" s="18" t="inlineStr">
        <is>
          <t>Team 7</t>
        </is>
      </c>
      <c r="C131" s="19" t="n"/>
      <c r="E131" s="9" t="n">
        <v>127</v>
      </c>
      <c r="F131">
        <f>IF($AE131="","",IFERROR(INDEX(Players!$B$2:$B$301,$AE131),""))</f>
        <v/>
      </c>
      <c r="G131">
        <f>IF($AE131="","",IFERROR(INDEX(Players!$D$2:$D$301,$AE131),""))</f>
        <v/>
      </c>
      <c r="H131">
        <f>IF($AE131="","",IFERROR(INDEX(Players!$C$2:$C$301,$AE131),""))</f>
        <v/>
      </c>
      <c r="I131" s="12">
        <f>IF($AE131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-127+0.5)/3.5))))</f>
        <v/>
      </c>
      <c r="J131" s="12">
        <f>IF($AE131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-127+0.5)/3.5))))</f>
        <v/>
      </c>
      <c r="K131" s="13">
        <f>IF($AE131="","",IFERROR(INDEX(Players!$U$2:$U$301,$AE131),""))</f>
        <v/>
      </c>
      <c r="L131" s="13">
        <f>IF($AE131="","",IFERROR(INDEX(Players!$X$2:$X$301,$AE131),""))</f>
        <v/>
      </c>
      <c r="M131" s="14">
        <f>IF($AE131="","",IFERROR(INDEX(Players!$K$2:$K$301,$AE131),""))</f>
        <v/>
      </c>
      <c r="N131" s="14">
        <f>IF($AE131="","",IFERROR(INDEX(Players!$H$2:$H$301,$AE131),""))</f>
        <v/>
      </c>
      <c r="O131" s="15">
        <f>IF($AE131="","",IFERROR(INDEX(Players!$G$2:$G$301,$AE131),""))</f>
        <v/>
      </c>
      <c r="P131" s="14">
        <f>IF($AE131="","",IFERROR(INDEX(Players!$I$2:$I$301,$AE131),""))</f>
        <v/>
      </c>
      <c r="Q131" s="14">
        <f>IF($AE131="","",IFERROR(INDEX(Players!$F$2:$F$301,$AE131),""))</f>
        <v/>
      </c>
      <c r="R131" s="14">
        <f>IF($AE131="","",IFERROR(INDEX(Players!$J$2:$J$301,$AE131),""))</f>
        <v/>
      </c>
      <c r="S131" s="15">
        <f>IF($AE131="","",IFERROR(INDEX(Players!$L$2:$L$301,$AE131),""))</f>
        <v/>
      </c>
      <c r="T131" s="14">
        <f>IF($AE131="","",IFERROR(INDEX(Players!$M$2:$M$301,$AE131),""))</f>
        <v/>
      </c>
      <c r="U131" s="14">
        <f>IF($AE131="","",IFERROR(INDEX(Players!$N$2:$N$301,$AE131),""))</f>
        <v/>
      </c>
      <c r="V131" s="14">
        <f>IF($AE131="","",IFERROR(INDEX(Players!$O$2:$O$301,$AE131),""))</f>
        <v/>
      </c>
      <c r="W131" s="14">
        <f>IF($AE131="","",IFERROR(INDEX(Players!$P$2:$P$301,$AE131),""))</f>
        <v/>
      </c>
      <c r="X131" s="14">
        <f>IF($AE131="","",IFERROR(INDEX(Players!$Q$2:$Q$301,$AE131),""))</f>
        <v/>
      </c>
      <c r="Y131" s="14">
        <f>IF($AE131="","",IFERROR(INDEX(Players!$R$2:$R$301,$AE131),""))</f>
        <v/>
      </c>
      <c r="AE131">
        <f>IFERROR(MATCH(LARGE(Players!$V$2:$V$301,127),Players!$V$2:$V$301,0),"")</f>
        <v/>
      </c>
    </row>
    <row r="132">
      <c r="A132" s="9" t="inlineStr">
        <is>
          <t>11.08</t>
        </is>
      </c>
      <c r="B132" s="18" t="inlineStr">
        <is>
          <t>Team 8</t>
        </is>
      </c>
      <c r="C132" s="19" t="n"/>
      <c r="E132" s="9" t="n">
        <v>128</v>
      </c>
      <c r="F132">
        <f>IF($AE132="","",IFERROR(INDEX(Players!$B$2:$B$301,$AE132),""))</f>
        <v/>
      </c>
      <c r="G132">
        <f>IF($AE132="","",IFERROR(INDEX(Players!$D$2:$D$301,$AE132),""))</f>
        <v/>
      </c>
      <c r="H132">
        <f>IF($AE132="","",IFERROR(INDEX(Players!$C$2:$C$301,$AE132),""))</f>
        <v/>
      </c>
      <c r="I132" s="12">
        <f>IF($AE132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-128+0.5)/3.5))))</f>
        <v/>
      </c>
      <c r="J132" s="12">
        <f>IF($AE132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-128+0.5)/3.5))))</f>
        <v/>
      </c>
      <c r="K132" s="13">
        <f>IF($AE132="","",IFERROR(INDEX(Players!$U$2:$U$301,$AE132),""))</f>
        <v/>
      </c>
      <c r="L132" s="13">
        <f>IF($AE132="","",IFERROR(INDEX(Players!$X$2:$X$301,$AE132),""))</f>
        <v/>
      </c>
      <c r="M132" s="14">
        <f>IF($AE132="","",IFERROR(INDEX(Players!$K$2:$K$301,$AE132),""))</f>
        <v/>
      </c>
      <c r="N132" s="14">
        <f>IF($AE132="","",IFERROR(INDEX(Players!$H$2:$H$301,$AE132),""))</f>
        <v/>
      </c>
      <c r="O132" s="15">
        <f>IF($AE132="","",IFERROR(INDEX(Players!$G$2:$G$301,$AE132),""))</f>
        <v/>
      </c>
      <c r="P132" s="14">
        <f>IF($AE132="","",IFERROR(INDEX(Players!$I$2:$I$301,$AE132),""))</f>
        <v/>
      </c>
      <c r="Q132" s="14">
        <f>IF($AE132="","",IFERROR(INDEX(Players!$F$2:$F$301,$AE132),""))</f>
        <v/>
      </c>
      <c r="R132" s="14">
        <f>IF($AE132="","",IFERROR(INDEX(Players!$J$2:$J$301,$AE132),""))</f>
        <v/>
      </c>
      <c r="S132" s="15">
        <f>IF($AE132="","",IFERROR(INDEX(Players!$L$2:$L$301,$AE132),""))</f>
        <v/>
      </c>
      <c r="T132" s="14">
        <f>IF($AE132="","",IFERROR(INDEX(Players!$M$2:$M$301,$AE132),""))</f>
        <v/>
      </c>
      <c r="U132" s="14">
        <f>IF($AE132="","",IFERROR(INDEX(Players!$N$2:$N$301,$AE132),""))</f>
        <v/>
      </c>
      <c r="V132" s="14">
        <f>IF($AE132="","",IFERROR(INDEX(Players!$O$2:$O$301,$AE132),""))</f>
        <v/>
      </c>
      <c r="W132" s="14">
        <f>IF($AE132="","",IFERROR(INDEX(Players!$P$2:$P$301,$AE132),""))</f>
        <v/>
      </c>
      <c r="X132" s="14">
        <f>IF($AE132="","",IFERROR(INDEX(Players!$Q$2:$Q$301,$AE132),""))</f>
        <v/>
      </c>
      <c r="Y132" s="14">
        <f>IF($AE132="","",IFERROR(INDEX(Players!$R$2:$R$301,$AE132),""))</f>
        <v/>
      </c>
      <c r="AE132">
        <f>IFERROR(MATCH(LARGE(Players!$V$2:$V$301,128),Players!$V$2:$V$301,0),"")</f>
        <v/>
      </c>
    </row>
    <row r="133">
      <c r="A133" s="9" t="inlineStr">
        <is>
          <t>11.09</t>
        </is>
      </c>
      <c r="B133" s="18" t="inlineStr">
        <is>
          <t>Team 9</t>
        </is>
      </c>
      <c r="C133" s="19" t="n"/>
      <c r="E133" s="9" t="n">
        <v>129</v>
      </c>
      <c r="F133">
        <f>IF($AE133="","",IFERROR(INDEX(Players!$B$2:$B$301,$AE133),""))</f>
        <v/>
      </c>
      <c r="G133">
        <f>IF($AE133="","",IFERROR(INDEX(Players!$D$2:$D$301,$AE133),""))</f>
        <v/>
      </c>
      <c r="H133">
        <f>IF($AE133="","",IFERROR(INDEX(Players!$C$2:$C$301,$AE133),""))</f>
        <v/>
      </c>
      <c r="I133" s="12">
        <f>IF($AE133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-129+0.5)/3.5))))</f>
        <v/>
      </c>
      <c r="J133" s="12">
        <f>IF($AE133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-129+0.5)/3.5))))</f>
        <v/>
      </c>
      <c r="K133" s="13">
        <f>IF($AE133="","",IFERROR(INDEX(Players!$U$2:$U$301,$AE133),""))</f>
        <v/>
      </c>
      <c r="L133" s="13">
        <f>IF($AE133="","",IFERROR(INDEX(Players!$X$2:$X$301,$AE133),""))</f>
        <v/>
      </c>
      <c r="M133" s="14">
        <f>IF($AE133="","",IFERROR(INDEX(Players!$K$2:$K$301,$AE133),""))</f>
        <v/>
      </c>
      <c r="N133" s="14">
        <f>IF($AE133="","",IFERROR(INDEX(Players!$H$2:$H$301,$AE133),""))</f>
        <v/>
      </c>
      <c r="O133" s="15">
        <f>IF($AE133="","",IFERROR(INDEX(Players!$G$2:$G$301,$AE133),""))</f>
        <v/>
      </c>
      <c r="P133" s="14">
        <f>IF($AE133="","",IFERROR(INDEX(Players!$I$2:$I$301,$AE133),""))</f>
        <v/>
      </c>
      <c r="Q133" s="14">
        <f>IF($AE133="","",IFERROR(INDEX(Players!$F$2:$F$301,$AE133),""))</f>
        <v/>
      </c>
      <c r="R133" s="14">
        <f>IF($AE133="","",IFERROR(INDEX(Players!$J$2:$J$301,$AE133),""))</f>
        <v/>
      </c>
      <c r="S133" s="15">
        <f>IF($AE133="","",IFERROR(INDEX(Players!$L$2:$L$301,$AE133),""))</f>
        <v/>
      </c>
      <c r="T133" s="14">
        <f>IF($AE133="","",IFERROR(INDEX(Players!$M$2:$M$301,$AE133),""))</f>
        <v/>
      </c>
      <c r="U133" s="14">
        <f>IF($AE133="","",IFERROR(INDEX(Players!$N$2:$N$301,$AE133),""))</f>
        <v/>
      </c>
      <c r="V133" s="14">
        <f>IF($AE133="","",IFERROR(INDEX(Players!$O$2:$O$301,$AE133),""))</f>
        <v/>
      </c>
      <c r="W133" s="14">
        <f>IF($AE133="","",IFERROR(INDEX(Players!$P$2:$P$301,$AE133),""))</f>
        <v/>
      </c>
      <c r="X133" s="14">
        <f>IF($AE133="","",IFERROR(INDEX(Players!$Q$2:$Q$301,$AE133),""))</f>
        <v/>
      </c>
      <c r="Y133" s="14">
        <f>IF($AE133="","",IFERROR(INDEX(Players!$R$2:$R$301,$AE133),""))</f>
        <v/>
      </c>
      <c r="AE133">
        <f>IFERROR(MATCH(LARGE(Players!$V$2:$V$301,129),Players!$V$2:$V$301,0),"")</f>
        <v/>
      </c>
    </row>
    <row r="134">
      <c r="A134" s="9" t="inlineStr">
        <is>
          <t>11.10</t>
        </is>
      </c>
      <c r="B134" s="18" t="inlineStr">
        <is>
          <t>Team 10</t>
        </is>
      </c>
      <c r="C134" s="19" t="n"/>
      <c r="E134" s="9" t="n">
        <v>130</v>
      </c>
      <c r="F134">
        <f>IF($AE134="","",IFERROR(INDEX(Players!$B$2:$B$301,$AE134),""))</f>
        <v/>
      </c>
      <c r="G134">
        <f>IF($AE134="","",IFERROR(INDEX(Players!$D$2:$D$301,$AE134),""))</f>
        <v/>
      </c>
      <c r="H134">
        <f>IF($AE134="","",IFERROR(INDEX(Players!$C$2:$C$301,$AE134),""))</f>
        <v/>
      </c>
      <c r="I134" s="12">
        <f>IF($AE134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-130+0.5)/3.5))))</f>
        <v/>
      </c>
      <c r="J134" s="12">
        <f>IF($AE134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-130+0.5)/3.5))))</f>
        <v/>
      </c>
      <c r="K134" s="13">
        <f>IF($AE134="","",IFERROR(INDEX(Players!$U$2:$U$301,$AE134),""))</f>
        <v/>
      </c>
      <c r="L134" s="13">
        <f>IF($AE134="","",IFERROR(INDEX(Players!$X$2:$X$301,$AE134),""))</f>
        <v/>
      </c>
      <c r="M134" s="14">
        <f>IF($AE134="","",IFERROR(INDEX(Players!$K$2:$K$301,$AE134),""))</f>
        <v/>
      </c>
      <c r="N134" s="14">
        <f>IF($AE134="","",IFERROR(INDEX(Players!$H$2:$H$301,$AE134),""))</f>
        <v/>
      </c>
      <c r="O134" s="15">
        <f>IF($AE134="","",IFERROR(INDEX(Players!$G$2:$G$301,$AE134),""))</f>
        <v/>
      </c>
      <c r="P134" s="14">
        <f>IF($AE134="","",IFERROR(INDEX(Players!$I$2:$I$301,$AE134),""))</f>
        <v/>
      </c>
      <c r="Q134" s="14">
        <f>IF($AE134="","",IFERROR(INDEX(Players!$F$2:$F$301,$AE134),""))</f>
        <v/>
      </c>
      <c r="R134" s="14">
        <f>IF($AE134="","",IFERROR(INDEX(Players!$J$2:$J$301,$AE134),""))</f>
        <v/>
      </c>
      <c r="S134" s="15">
        <f>IF($AE134="","",IFERROR(INDEX(Players!$L$2:$L$301,$AE134),""))</f>
        <v/>
      </c>
      <c r="T134" s="14">
        <f>IF($AE134="","",IFERROR(INDEX(Players!$M$2:$M$301,$AE134),""))</f>
        <v/>
      </c>
      <c r="U134" s="14">
        <f>IF($AE134="","",IFERROR(INDEX(Players!$N$2:$N$301,$AE134),""))</f>
        <v/>
      </c>
      <c r="V134" s="14">
        <f>IF($AE134="","",IFERROR(INDEX(Players!$O$2:$O$301,$AE134),""))</f>
        <v/>
      </c>
      <c r="W134" s="14">
        <f>IF($AE134="","",IFERROR(INDEX(Players!$P$2:$P$301,$AE134),""))</f>
        <v/>
      </c>
      <c r="X134" s="14">
        <f>IF($AE134="","",IFERROR(INDEX(Players!$Q$2:$Q$301,$AE134),""))</f>
        <v/>
      </c>
      <c r="Y134" s="14">
        <f>IF($AE134="","",IFERROR(INDEX(Players!$R$2:$R$301,$AE134),""))</f>
        <v/>
      </c>
      <c r="AE134">
        <f>IFERROR(MATCH(LARGE(Players!$V$2:$V$301,130),Players!$V$2:$V$301,0),"")</f>
        <v/>
      </c>
    </row>
    <row r="135">
      <c r="A135" s="9" t="inlineStr">
        <is>
          <t>11.11</t>
        </is>
      </c>
      <c r="B135" s="18" t="inlineStr">
        <is>
          <t>Team 11</t>
        </is>
      </c>
      <c r="C135" s="19" t="n"/>
      <c r="E135" s="9" t="n">
        <v>131</v>
      </c>
      <c r="F135">
        <f>IF($AE135="","",IFERROR(INDEX(Players!$B$2:$B$301,$AE135),""))</f>
        <v/>
      </c>
      <c r="G135">
        <f>IF($AE135="","",IFERROR(INDEX(Players!$D$2:$D$301,$AE135),""))</f>
        <v/>
      </c>
      <c r="H135">
        <f>IF($AE135="","",IFERROR(INDEX(Players!$C$2:$C$301,$AE135),""))</f>
        <v/>
      </c>
      <c r="I135" s="12">
        <f>IF($AE135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-131+0.5)/3.5))))</f>
        <v/>
      </c>
      <c r="J135" s="12">
        <f>IF($AE135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-131+0.5)/3.5))))</f>
        <v/>
      </c>
      <c r="K135" s="13">
        <f>IF($AE135="","",IFERROR(INDEX(Players!$U$2:$U$301,$AE135),""))</f>
        <v/>
      </c>
      <c r="L135" s="13">
        <f>IF($AE135="","",IFERROR(INDEX(Players!$X$2:$X$301,$AE135),""))</f>
        <v/>
      </c>
      <c r="M135" s="14">
        <f>IF($AE135="","",IFERROR(INDEX(Players!$K$2:$K$301,$AE135),""))</f>
        <v/>
      </c>
      <c r="N135" s="14">
        <f>IF($AE135="","",IFERROR(INDEX(Players!$H$2:$H$301,$AE135),""))</f>
        <v/>
      </c>
      <c r="O135" s="15">
        <f>IF($AE135="","",IFERROR(INDEX(Players!$G$2:$G$301,$AE135),""))</f>
        <v/>
      </c>
      <c r="P135" s="14">
        <f>IF($AE135="","",IFERROR(INDEX(Players!$I$2:$I$301,$AE135),""))</f>
        <v/>
      </c>
      <c r="Q135" s="14">
        <f>IF($AE135="","",IFERROR(INDEX(Players!$F$2:$F$301,$AE135),""))</f>
        <v/>
      </c>
      <c r="R135" s="14">
        <f>IF($AE135="","",IFERROR(INDEX(Players!$J$2:$J$301,$AE135),""))</f>
        <v/>
      </c>
      <c r="S135" s="15">
        <f>IF($AE135="","",IFERROR(INDEX(Players!$L$2:$L$301,$AE135),""))</f>
        <v/>
      </c>
      <c r="T135" s="14">
        <f>IF($AE135="","",IFERROR(INDEX(Players!$M$2:$M$301,$AE135),""))</f>
        <v/>
      </c>
      <c r="U135" s="14">
        <f>IF($AE135="","",IFERROR(INDEX(Players!$N$2:$N$301,$AE135),""))</f>
        <v/>
      </c>
      <c r="V135" s="14">
        <f>IF($AE135="","",IFERROR(INDEX(Players!$O$2:$O$301,$AE135),""))</f>
        <v/>
      </c>
      <c r="W135" s="14">
        <f>IF($AE135="","",IFERROR(INDEX(Players!$P$2:$P$301,$AE135),""))</f>
        <v/>
      </c>
      <c r="X135" s="14">
        <f>IF($AE135="","",IFERROR(INDEX(Players!$Q$2:$Q$301,$AE135),""))</f>
        <v/>
      </c>
      <c r="Y135" s="14">
        <f>IF($AE135="","",IFERROR(INDEX(Players!$R$2:$R$301,$AE135),""))</f>
        <v/>
      </c>
      <c r="AE135">
        <f>IFERROR(MATCH(LARGE(Players!$V$2:$V$301,131),Players!$V$2:$V$301,0),"")</f>
        <v/>
      </c>
    </row>
    <row r="136">
      <c r="A136" s="9" t="inlineStr">
        <is>
          <t>11.12</t>
        </is>
      </c>
      <c r="B136" s="18" t="inlineStr">
        <is>
          <t>Team 12</t>
        </is>
      </c>
      <c r="C136" s="19" t="n"/>
      <c r="E136" s="9" t="n">
        <v>132</v>
      </c>
      <c r="F136">
        <f>IF($AE136="","",IFERROR(INDEX(Players!$B$2:$B$301,$AE136),""))</f>
        <v/>
      </c>
      <c r="G136">
        <f>IF($AE136="","",IFERROR(INDEX(Players!$D$2:$D$301,$AE136),""))</f>
        <v/>
      </c>
      <c r="H136">
        <f>IF($AE136="","",IFERROR(INDEX(Players!$C$2:$C$301,$AE136),""))</f>
        <v/>
      </c>
      <c r="I136" s="12">
        <f>IF($AE136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-132+0.5)/3.5))))</f>
        <v/>
      </c>
      <c r="J136" s="12">
        <f>IF($AE136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-132+0.5)/3.5))))</f>
        <v/>
      </c>
      <c r="K136" s="13">
        <f>IF($AE136="","",IFERROR(INDEX(Players!$U$2:$U$301,$AE136),""))</f>
        <v/>
      </c>
      <c r="L136" s="13">
        <f>IF($AE136="","",IFERROR(INDEX(Players!$X$2:$X$301,$AE136),""))</f>
        <v/>
      </c>
      <c r="M136" s="14">
        <f>IF($AE136="","",IFERROR(INDEX(Players!$K$2:$K$301,$AE136),""))</f>
        <v/>
      </c>
      <c r="N136" s="14">
        <f>IF($AE136="","",IFERROR(INDEX(Players!$H$2:$H$301,$AE136),""))</f>
        <v/>
      </c>
      <c r="O136" s="15">
        <f>IF($AE136="","",IFERROR(INDEX(Players!$G$2:$G$301,$AE136),""))</f>
        <v/>
      </c>
      <c r="P136" s="14">
        <f>IF($AE136="","",IFERROR(INDEX(Players!$I$2:$I$301,$AE136),""))</f>
        <v/>
      </c>
      <c r="Q136" s="14">
        <f>IF($AE136="","",IFERROR(INDEX(Players!$F$2:$F$301,$AE136),""))</f>
        <v/>
      </c>
      <c r="R136" s="14">
        <f>IF($AE136="","",IFERROR(INDEX(Players!$J$2:$J$301,$AE136),""))</f>
        <v/>
      </c>
      <c r="S136" s="15">
        <f>IF($AE136="","",IFERROR(INDEX(Players!$L$2:$L$301,$AE136),""))</f>
        <v/>
      </c>
      <c r="T136" s="14">
        <f>IF($AE136="","",IFERROR(INDEX(Players!$M$2:$M$301,$AE136),""))</f>
        <v/>
      </c>
      <c r="U136" s="14">
        <f>IF($AE136="","",IFERROR(INDEX(Players!$N$2:$N$301,$AE136),""))</f>
        <v/>
      </c>
      <c r="V136" s="14">
        <f>IF($AE136="","",IFERROR(INDEX(Players!$O$2:$O$301,$AE136),""))</f>
        <v/>
      </c>
      <c r="W136" s="14">
        <f>IF($AE136="","",IFERROR(INDEX(Players!$P$2:$P$301,$AE136),""))</f>
        <v/>
      </c>
      <c r="X136" s="14">
        <f>IF($AE136="","",IFERROR(INDEX(Players!$Q$2:$Q$301,$AE136),""))</f>
        <v/>
      </c>
      <c r="Y136" s="14">
        <f>IF($AE136="","",IFERROR(INDEX(Players!$R$2:$R$301,$AE136),""))</f>
        <v/>
      </c>
      <c r="AE136">
        <f>IFERROR(MATCH(LARGE(Players!$V$2:$V$301,132),Players!$V$2:$V$301,0),"")</f>
        <v/>
      </c>
    </row>
    <row r="137">
      <c r="A137" s="9" t="inlineStr">
        <is>
          <t>12.01</t>
        </is>
      </c>
      <c r="B137" s="18" t="inlineStr">
        <is>
          <t>Team 12</t>
        </is>
      </c>
      <c r="C137" s="19" t="n"/>
      <c r="E137" s="9" t="n">
        <v>133</v>
      </c>
      <c r="F137">
        <f>IF($AE137="","",IFERROR(INDEX(Players!$B$2:$B$301,$AE137),""))</f>
        <v/>
      </c>
      <c r="G137">
        <f>IF($AE137="","",IFERROR(INDEX(Players!$D$2:$D$301,$AE137),""))</f>
        <v/>
      </c>
      <c r="H137">
        <f>IF($AE137="","",IFERROR(INDEX(Players!$C$2:$C$301,$AE137),""))</f>
        <v/>
      </c>
      <c r="I137" s="12">
        <f>IF($AE137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-133+0.5)/3.5))))</f>
        <v/>
      </c>
      <c r="J137" s="12">
        <f>IF($AE137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-133+0.5)/3.5))))</f>
        <v/>
      </c>
      <c r="K137" s="13">
        <f>IF($AE137="","",IFERROR(INDEX(Players!$U$2:$U$301,$AE137),""))</f>
        <v/>
      </c>
      <c r="L137" s="13">
        <f>IF($AE137="","",IFERROR(INDEX(Players!$X$2:$X$301,$AE137),""))</f>
        <v/>
      </c>
      <c r="M137" s="14">
        <f>IF($AE137="","",IFERROR(INDEX(Players!$K$2:$K$301,$AE137),""))</f>
        <v/>
      </c>
      <c r="N137" s="14">
        <f>IF($AE137="","",IFERROR(INDEX(Players!$H$2:$H$301,$AE137),""))</f>
        <v/>
      </c>
      <c r="O137" s="15">
        <f>IF($AE137="","",IFERROR(INDEX(Players!$G$2:$G$301,$AE137),""))</f>
        <v/>
      </c>
      <c r="P137" s="14">
        <f>IF($AE137="","",IFERROR(INDEX(Players!$I$2:$I$301,$AE137),""))</f>
        <v/>
      </c>
      <c r="Q137" s="14">
        <f>IF($AE137="","",IFERROR(INDEX(Players!$F$2:$F$301,$AE137),""))</f>
        <v/>
      </c>
      <c r="R137" s="14">
        <f>IF($AE137="","",IFERROR(INDEX(Players!$J$2:$J$301,$AE137),""))</f>
        <v/>
      </c>
      <c r="S137" s="15">
        <f>IF($AE137="","",IFERROR(INDEX(Players!$L$2:$L$301,$AE137),""))</f>
        <v/>
      </c>
      <c r="T137" s="14">
        <f>IF($AE137="","",IFERROR(INDEX(Players!$M$2:$M$301,$AE137),""))</f>
        <v/>
      </c>
      <c r="U137" s="14">
        <f>IF($AE137="","",IFERROR(INDEX(Players!$N$2:$N$301,$AE137),""))</f>
        <v/>
      </c>
      <c r="V137" s="14">
        <f>IF($AE137="","",IFERROR(INDEX(Players!$O$2:$O$301,$AE137),""))</f>
        <v/>
      </c>
      <c r="W137" s="14">
        <f>IF($AE137="","",IFERROR(INDEX(Players!$P$2:$P$301,$AE137),""))</f>
        <v/>
      </c>
      <c r="X137" s="14">
        <f>IF($AE137="","",IFERROR(INDEX(Players!$Q$2:$Q$301,$AE137),""))</f>
        <v/>
      </c>
      <c r="Y137" s="14">
        <f>IF($AE137="","",IFERROR(INDEX(Players!$R$2:$R$301,$AE137),""))</f>
        <v/>
      </c>
      <c r="AE137">
        <f>IFERROR(MATCH(LARGE(Players!$V$2:$V$301,133),Players!$V$2:$V$301,0),"")</f>
        <v/>
      </c>
    </row>
    <row r="138">
      <c r="A138" s="9" t="inlineStr">
        <is>
          <t>12.02</t>
        </is>
      </c>
      <c r="B138" s="18" t="inlineStr">
        <is>
          <t>Team 11</t>
        </is>
      </c>
      <c r="C138" s="19" t="n"/>
      <c r="E138" s="9" t="n">
        <v>134</v>
      </c>
      <c r="F138">
        <f>IF($AE138="","",IFERROR(INDEX(Players!$B$2:$B$301,$AE138),""))</f>
        <v/>
      </c>
      <c r="G138">
        <f>IF($AE138="","",IFERROR(INDEX(Players!$D$2:$D$301,$AE138),""))</f>
        <v/>
      </c>
      <c r="H138">
        <f>IF($AE138="","",IFERROR(INDEX(Players!$C$2:$C$301,$AE138),""))</f>
        <v/>
      </c>
      <c r="I138" s="12">
        <f>IF($AE138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-134+0.5)/3.5))))</f>
        <v/>
      </c>
      <c r="J138" s="12">
        <f>IF($AE138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-134+0.5)/3.5))))</f>
        <v/>
      </c>
      <c r="K138" s="13">
        <f>IF($AE138="","",IFERROR(INDEX(Players!$U$2:$U$301,$AE138),""))</f>
        <v/>
      </c>
      <c r="L138" s="13">
        <f>IF($AE138="","",IFERROR(INDEX(Players!$X$2:$X$301,$AE138),""))</f>
        <v/>
      </c>
      <c r="M138" s="14">
        <f>IF($AE138="","",IFERROR(INDEX(Players!$K$2:$K$301,$AE138),""))</f>
        <v/>
      </c>
      <c r="N138" s="14">
        <f>IF($AE138="","",IFERROR(INDEX(Players!$H$2:$H$301,$AE138),""))</f>
        <v/>
      </c>
      <c r="O138" s="15">
        <f>IF($AE138="","",IFERROR(INDEX(Players!$G$2:$G$301,$AE138),""))</f>
        <v/>
      </c>
      <c r="P138" s="14">
        <f>IF($AE138="","",IFERROR(INDEX(Players!$I$2:$I$301,$AE138),""))</f>
        <v/>
      </c>
      <c r="Q138" s="14">
        <f>IF($AE138="","",IFERROR(INDEX(Players!$F$2:$F$301,$AE138),""))</f>
        <v/>
      </c>
      <c r="R138" s="14">
        <f>IF($AE138="","",IFERROR(INDEX(Players!$J$2:$J$301,$AE138),""))</f>
        <v/>
      </c>
      <c r="S138" s="15">
        <f>IF($AE138="","",IFERROR(INDEX(Players!$L$2:$L$301,$AE138),""))</f>
        <v/>
      </c>
      <c r="T138" s="14">
        <f>IF($AE138="","",IFERROR(INDEX(Players!$M$2:$M$301,$AE138),""))</f>
        <v/>
      </c>
      <c r="U138" s="14">
        <f>IF($AE138="","",IFERROR(INDEX(Players!$N$2:$N$301,$AE138),""))</f>
        <v/>
      </c>
      <c r="V138" s="14">
        <f>IF($AE138="","",IFERROR(INDEX(Players!$O$2:$O$301,$AE138),""))</f>
        <v/>
      </c>
      <c r="W138" s="14">
        <f>IF($AE138="","",IFERROR(INDEX(Players!$P$2:$P$301,$AE138),""))</f>
        <v/>
      </c>
      <c r="X138" s="14">
        <f>IF($AE138="","",IFERROR(INDEX(Players!$Q$2:$Q$301,$AE138),""))</f>
        <v/>
      </c>
      <c r="Y138" s="14">
        <f>IF($AE138="","",IFERROR(INDEX(Players!$R$2:$R$301,$AE138),""))</f>
        <v/>
      </c>
      <c r="AE138">
        <f>IFERROR(MATCH(LARGE(Players!$V$2:$V$301,134),Players!$V$2:$V$301,0),"")</f>
        <v/>
      </c>
    </row>
    <row r="139">
      <c r="A139" s="9" t="inlineStr">
        <is>
          <t>12.03</t>
        </is>
      </c>
      <c r="B139" s="18" t="inlineStr">
        <is>
          <t>Team 10</t>
        </is>
      </c>
      <c r="C139" s="19" t="n"/>
      <c r="E139" s="9" t="n">
        <v>135</v>
      </c>
      <c r="F139">
        <f>IF($AE139="","",IFERROR(INDEX(Players!$B$2:$B$301,$AE139),""))</f>
        <v/>
      </c>
      <c r="G139">
        <f>IF($AE139="","",IFERROR(INDEX(Players!$D$2:$D$301,$AE139),""))</f>
        <v/>
      </c>
      <c r="H139">
        <f>IF($AE139="","",IFERROR(INDEX(Players!$C$2:$C$301,$AE139),""))</f>
        <v/>
      </c>
      <c r="I139" s="12">
        <f>IF($AE139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-135+0.5)/3.5))))</f>
        <v/>
      </c>
      <c r="J139" s="12">
        <f>IF($AE139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-135+0.5)/3.5))))</f>
        <v/>
      </c>
      <c r="K139" s="13">
        <f>IF($AE139="","",IFERROR(INDEX(Players!$U$2:$U$301,$AE139),""))</f>
        <v/>
      </c>
      <c r="L139" s="13">
        <f>IF($AE139="","",IFERROR(INDEX(Players!$X$2:$X$301,$AE139),""))</f>
        <v/>
      </c>
      <c r="M139" s="14">
        <f>IF($AE139="","",IFERROR(INDEX(Players!$K$2:$K$301,$AE139),""))</f>
        <v/>
      </c>
      <c r="N139" s="14">
        <f>IF($AE139="","",IFERROR(INDEX(Players!$H$2:$H$301,$AE139),""))</f>
        <v/>
      </c>
      <c r="O139" s="15">
        <f>IF($AE139="","",IFERROR(INDEX(Players!$G$2:$G$301,$AE139),""))</f>
        <v/>
      </c>
      <c r="P139" s="14">
        <f>IF($AE139="","",IFERROR(INDEX(Players!$I$2:$I$301,$AE139),""))</f>
        <v/>
      </c>
      <c r="Q139" s="14">
        <f>IF($AE139="","",IFERROR(INDEX(Players!$F$2:$F$301,$AE139),""))</f>
        <v/>
      </c>
      <c r="R139" s="14">
        <f>IF($AE139="","",IFERROR(INDEX(Players!$J$2:$J$301,$AE139),""))</f>
        <v/>
      </c>
      <c r="S139" s="15">
        <f>IF($AE139="","",IFERROR(INDEX(Players!$L$2:$L$301,$AE139),""))</f>
        <v/>
      </c>
      <c r="T139" s="14">
        <f>IF($AE139="","",IFERROR(INDEX(Players!$M$2:$M$301,$AE139),""))</f>
        <v/>
      </c>
      <c r="U139" s="14">
        <f>IF($AE139="","",IFERROR(INDEX(Players!$N$2:$N$301,$AE139),""))</f>
        <v/>
      </c>
      <c r="V139" s="14">
        <f>IF($AE139="","",IFERROR(INDEX(Players!$O$2:$O$301,$AE139),""))</f>
        <v/>
      </c>
      <c r="W139" s="14">
        <f>IF($AE139="","",IFERROR(INDEX(Players!$P$2:$P$301,$AE139),""))</f>
        <v/>
      </c>
      <c r="X139" s="14">
        <f>IF($AE139="","",IFERROR(INDEX(Players!$Q$2:$Q$301,$AE139),""))</f>
        <v/>
      </c>
      <c r="Y139" s="14">
        <f>IF($AE139="","",IFERROR(INDEX(Players!$R$2:$R$301,$AE139),""))</f>
        <v/>
      </c>
      <c r="AE139">
        <f>IFERROR(MATCH(LARGE(Players!$V$2:$V$301,135),Players!$V$2:$V$301,0),"")</f>
        <v/>
      </c>
    </row>
    <row r="140">
      <c r="A140" s="9" t="inlineStr">
        <is>
          <t>12.04</t>
        </is>
      </c>
      <c r="B140" s="18" t="inlineStr">
        <is>
          <t>Team 9</t>
        </is>
      </c>
      <c r="C140" s="19" t="n"/>
      <c r="E140" s="9" t="n">
        <v>136</v>
      </c>
      <c r="F140">
        <f>IF($AE140="","",IFERROR(INDEX(Players!$B$2:$B$301,$AE140),""))</f>
        <v/>
      </c>
      <c r="G140">
        <f>IF($AE140="","",IFERROR(INDEX(Players!$D$2:$D$301,$AE140),""))</f>
        <v/>
      </c>
      <c r="H140">
        <f>IF($AE140="","",IFERROR(INDEX(Players!$C$2:$C$301,$AE140),""))</f>
        <v/>
      </c>
      <c r="I140" s="12">
        <f>IF($AE140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-136+0.5)/3.5))))</f>
        <v/>
      </c>
      <c r="J140" s="12">
        <f>IF($AE140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-136+0.5)/3.5))))</f>
        <v/>
      </c>
      <c r="K140" s="13">
        <f>IF($AE140="","",IFERROR(INDEX(Players!$U$2:$U$301,$AE140),""))</f>
        <v/>
      </c>
      <c r="L140" s="13">
        <f>IF($AE140="","",IFERROR(INDEX(Players!$X$2:$X$301,$AE140),""))</f>
        <v/>
      </c>
      <c r="M140" s="14">
        <f>IF($AE140="","",IFERROR(INDEX(Players!$K$2:$K$301,$AE140),""))</f>
        <v/>
      </c>
      <c r="N140" s="14">
        <f>IF($AE140="","",IFERROR(INDEX(Players!$H$2:$H$301,$AE140),""))</f>
        <v/>
      </c>
      <c r="O140" s="15">
        <f>IF($AE140="","",IFERROR(INDEX(Players!$G$2:$G$301,$AE140),""))</f>
        <v/>
      </c>
      <c r="P140" s="14">
        <f>IF($AE140="","",IFERROR(INDEX(Players!$I$2:$I$301,$AE140),""))</f>
        <v/>
      </c>
      <c r="Q140" s="14">
        <f>IF($AE140="","",IFERROR(INDEX(Players!$F$2:$F$301,$AE140),""))</f>
        <v/>
      </c>
      <c r="R140" s="14">
        <f>IF($AE140="","",IFERROR(INDEX(Players!$J$2:$J$301,$AE140),""))</f>
        <v/>
      </c>
      <c r="S140" s="15">
        <f>IF($AE140="","",IFERROR(INDEX(Players!$L$2:$L$301,$AE140),""))</f>
        <v/>
      </c>
      <c r="T140" s="14">
        <f>IF($AE140="","",IFERROR(INDEX(Players!$M$2:$M$301,$AE140),""))</f>
        <v/>
      </c>
      <c r="U140" s="14">
        <f>IF($AE140="","",IFERROR(INDEX(Players!$N$2:$N$301,$AE140),""))</f>
        <v/>
      </c>
      <c r="V140" s="14">
        <f>IF($AE140="","",IFERROR(INDEX(Players!$O$2:$O$301,$AE140),""))</f>
        <v/>
      </c>
      <c r="W140" s="14">
        <f>IF($AE140="","",IFERROR(INDEX(Players!$P$2:$P$301,$AE140),""))</f>
        <v/>
      </c>
      <c r="X140" s="14">
        <f>IF($AE140="","",IFERROR(INDEX(Players!$Q$2:$Q$301,$AE140),""))</f>
        <v/>
      </c>
      <c r="Y140" s="14">
        <f>IF($AE140="","",IFERROR(INDEX(Players!$R$2:$R$301,$AE140),""))</f>
        <v/>
      </c>
      <c r="AE140">
        <f>IFERROR(MATCH(LARGE(Players!$V$2:$V$301,136),Players!$V$2:$V$301,0),"")</f>
        <v/>
      </c>
    </row>
    <row r="141">
      <c r="A141" s="9" t="inlineStr">
        <is>
          <t>12.05</t>
        </is>
      </c>
      <c r="B141" s="18" t="inlineStr">
        <is>
          <t>Team 8</t>
        </is>
      </c>
      <c r="C141" s="19" t="n"/>
      <c r="E141" s="9" t="n">
        <v>137</v>
      </c>
      <c r="F141">
        <f>IF($AE141="","",IFERROR(INDEX(Players!$B$2:$B$301,$AE141),""))</f>
        <v/>
      </c>
      <c r="G141">
        <f>IF($AE141="","",IFERROR(INDEX(Players!$D$2:$D$301,$AE141),""))</f>
        <v/>
      </c>
      <c r="H141">
        <f>IF($AE141="","",IFERROR(INDEX(Players!$C$2:$C$301,$AE141),""))</f>
        <v/>
      </c>
      <c r="I141" s="12">
        <f>IF($AE141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-137+0.5)/3.5))))</f>
        <v/>
      </c>
      <c r="J141" s="12">
        <f>IF($AE141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-137+0.5)/3.5))))</f>
        <v/>
      </c>
      <c r="K141" s="13">
        <f>IF($AE141="","",IFERROR(INDEX(Players!$U$2:$U$301,$AE141),""))</f>
        <v/>
      </c>
      <c r="L141" s="13">
        <f>IF($AE141="","",IFERROR(INDEX(Players!$X$2:$X$301,$AE141),""))</f>
        <v/>
      </c>
      <c r="M141" s="14">
        <f>IF($AE141="","",IFERROR(INDEX(Players!$K$2:$K$301,$AE141),""))</f>
        <v/>
      </c>
      <c r="N141" s="14">
        <f>IF($AE141="","",IFERROR(INDEX(Players!$H$2:$H$301,$AE141),""))</f>
        <v/>
      </c>
      <c r="O141" s="15">
        <f>IF($AE141="","",IFERROR(INDEX(Players!$G$2:$G$301,$AE141),""))</f>
        <v/>
      </c>
      <c r="P141" s="14">
        <f>IF($AE141="","",IFERROR(INDEX(Players!$I$2:$I$301,$AE141),""))</f>
        <v/>
      </c>
      <c r="Q141" s="14">
        <f>IF($AE141="","",IFERROR(INDEX(Players!$F$2:$F$301,$AE141),""))</f>
        <v/>
      </c>
      <c r="R141" s="14">
        <f>IF($AE141="","",IFERROR(INDEX(Players!$J$2:$J$301,$AE141),""))</f>
        <v/>
      </c>
      <c r="S141" s="15">
        <f>IF($AE141="","",IFERROR(INDEX(Players!$L$2:$L$301,$AE141),""))</f>
        <v/>
      </c>
      <c r="T141" s="14">
        <f>IF($AE141="","",IFERROR(INDEX(Players!$M$2:$M$301,$AE141),""))</f>
        <v/>
      </c>
      <c r="U141" s="14">
        <f>IF($AE141="","",IFERROR(INDEX(Players!$N$2:$N$301,$AE141),""))</f>
        <v/>
      </c>
      <c r="V141" s="14">
        <f>IF($AE141="","",IFERROR(INDEX(Players!$O$2:$O$301,$AE141),""))</f>
        <v/>
      </c>
      <c r="W141" s="14">
        <f>IF($AE141="","",IFERROR(INDEX(Players!$P$2:$P$301,$AE141),""))</f>
        <v/>
      </c>
      <c r="X141" s="14">
        <f>IF($AE141="","",IFERROR(INDEX(Players!$Q$2:$Q$301,$AE141),""))</f>
        <v/>
      </c>
      <c r="Y141" s="14">
        <f>IF($AE141="","",IFERROR(INDEX(Players!$R$2:$R$301,$AE141),""))</f>
        <v/>
      </c>
      <c r="AE141">
        <f>IFERROR(MATCH(LARGE(Players!$V$2:$V$301,137),Players!$V$2:$V$301,0),"")</f>
        <v/>
      </c>
    </row>
    <row r="142">
      <c r="A142" s="9" t="inlineStr">
        <is>
          <t>12.06</t>
        </is>
      </c>
      <c r="B142" s="18" t="inlineStr">
        <is>
          <t>Team 7</t>
        </is>
      </c>
      <c r="C142" s="19" t="n"/>
      <c r="E142" s="9" t="n">
        <v>138</v>
      </c>
      <c r="F142">
        <f>IF($AE142="","",IFERROR(INDEX(Players!$B$2:$B$301,$AE142),""))</f>
        <v/>
      </c>
      <c r="G142">
        <f>IF($AE142="","",IFERROR(INDEX(Players!$D$2:$D$301,$AE142),""))</f>
        <v/>
      </c>
      <c r="H142">
        <f>IF($AE142="","",IFERROR(INDEX(Players!$C$2:$C$301,$AE142),""))</f>
        <v/>
      </c>
      <c r="I142" s="12">
        <f>IF($AE142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-138+0.5)/3.5))))</f>
        <v/>
      </c>
      <c r="J142" s="12">
        <f>IF($AE142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-138+0.5)/3.5))))</f>
        <v/>
      </c>
      <c r="K142" s="13">
        <f>IF($AE142="","",IFERROR(INDEX(Players!$U$2:$U$301,$AE142),""))</f>
        <v/>
      </c>
      <c r="L142" s="13">
        <f>IF($AE142="","",IFERROR(INDEX(Players!$X$2:$X$301,$AE142),""))</f>
        <v/>
      </c>
      <c r="M142" s="14">
        <f>IF($AE142="","",IFERROR(INDEX(Players!$K$2:$K$301,$AE142),""))</f>
        <v/>
      </c>
      <c r="N142" s="14">
        <f>IF($AE142="","",IFERROR(INDEX(Players!$H$2:$H$301,$AE142),""))</f>
        <v/>
      </c>
      <c r="O142" s="15">
        <f>IF($AE142="","",IFERROR(INDEX(Players!$G$2:$G$301,$AE142),""))</f>
        <v/>
      </c>
      <c r="P142" s="14">
        <f>IF($AE142="","",IFERROR(INDEX(Players!$I$2:$I$301,$AE142),""))</f>
        <v/>
      </c>
      <c r="Q142" s="14">
        <f>IF($AE142="","",IFERROR(INDEX(Players!$F$2:$F$301,$AE142),""))</f>
        <v/>
      </c>
      <c r="R142" s="14">
        <f>IF($AE142="","",IFERROR(INDEX(Players!$J$2:$J$301,$AE142),""))</f>
        <v/>
      </c>
      <c r="S142" s="15">
        <f>IF($AE142="","",IFERROR(INDEX(Players!$L$2:$L$301,$AE142),""))</f>
        <v/>
      </c>
      <c r="T142" s="14">
        <f>IF($AE142="","",IFERROR(INDEX(Players!$M$2:$M$301,$AE142),""))</f>
        <v/>
      </c>
      <c r="U142" s="14">
        <f>IF($AE142="","",IFERROR(INDEX(Players!$N$2:$N$301,$AE142),""))</f>
        <v/>
      </c>
      <c r="V142" s="14">
        <f>IF($AE142="","",IFERROR(INDEX(Players!$O$2:$O$301,$AE142),""))</f>
        <v/>
      </c>
      <c r="W142" s="14">
        <f>IF($AE142="","",IFERROR(INDEX(Players!$P$2:$P$301,$AE142),""))</f>
        <v/>
      </c>
      <c r="X142" s="14">
        <f>IF($AE142="","",IFERROR(INDEX(Players!$Q$2:$Q$301,$AE142),""))</f>
        <v/>
      </c>
      <c r="Y142" s="14">
        <f>IF($AE142="","",IFERROR(INDEX(Players!$R$2:$R$301,$AE142),""))</f>
        <v/>
      </c>
      <c r="AE142">
        <f>IFERROR(MATCH(LARGE(Players!$V$2:$V$301,138),Players!$V$2:$V$301,0),"")</f>
        <v/>
      </c>
    </row>
    <row r="143">
      <c r="A143" s="9" t="inlineStr">
        <is>
          <t>12.07</t>
        </is>
      </c>
      <c r="B143" s="18" t="inlineStr">
        <is>
          <t>Team 6</t>
        </is>
      </c>
      <c r="C143" s="19" t="n"/>
      <c r="E143" s="9" t="n">
        <v>139</v>
      </c>
      <c r="F143">
        <f>IF($AE143="","",IFERROR(INDEX(Players!$B$2:$B$301,$AE143),""))</f>
        <v/>
      </c>
      <c r="G143">
        <f>IF($AE143="","",IFERROR(INDEX(Players!$D$2:$D$301,$AE143),""))</f>
        <v/>
      </c>
      <c r="H143">
        <f>IF($AE143="","",IFERROR(INDEX(Players!$C$2:$C$301,$AE143),""))</f>
        <v/>
      </c>
      <c r="I143" s="12">
        <f>IF($AE143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-139+0.5)/3.5))))</f>
        <v/>
      </c>
      <c r="J143" s="12">
        <f>IF($AE143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-139+0.5)/3.5))))</f>
        <v/>
      </c>
      <c r="K143" s="13">
        <f>IF($AE143="","",IFERROR(INDEX(Players!$U$2:$U$301,$AE143),""))</f>
        <v/>
      </c>
      <c r="L143" s="13">
        <f>IF($AE143="","",IFERROR(INDEX(Players!$X$2:$X$301,$AE143),""))</f>
        <v/>
      </c>
      <c r="M143" s="14">
        <f>IF($AE143="","",IFERROR(INDEX(Players!$K$2:$K$301,$AE143),""))</f>
        <v/>
      </c>
      <c r="N143" s="14">
        <f>IF($AE143="","",IFERROR(INDEX(Players!$H$2:$H$301,$AE143),""))</f>
        <v/>
      </c>
      <c r="O143" s="15">
        <f>IF($AE143="","",IFERROR(INDEX(Players!$G$2:$G$301,$AE143),""))</f>
        <v/>
      </c>
      <c r="P143" s="14">
        <f>IF($AE143="","",IFERROR(INDEX(Players!$I$2:$I$301,$AE143),""))</f>
        <v/>
      </c>
      <c r="Q143" s="14">
        <f>IF($AE143="","",IFERROR(INDEX(Players!$F$2:$F$301,$AE143),""))</f>
        <v/>
      </c>
      <c r="R143" s="14">
        <f>IF($AE143="","",IFERROR(INDEX(Players!$J$2:$J$301,$AE143),""))</f>
        <v/>
      </c>
      <c r="S143" s="15">
        <f>IF($AE143="","",IFERROR(INDEX(Players!$L$2:$L$301,$AE143),""))</f>
        <v/>
      </c>
      <c r="T143" s="14">
        <f>IF($AE143="","",IFERROR(INDEX(Players!$M$2:$M$301,$AE143),""))</f>
        <v/>
      </c>
      <c r="U143" s="14">
        <f>IF($AE143="","",IFERROR(INDEX(Players!$N$2:$N$301,$AE143),""))</f>
        <v/>
      </c>
      <c r="V143" s="14">
        <f>IF($AE143="","",IFERROR(INDEX(Players!$O$2:$O$301,$AE143),""))</f>
        <v/>
      </c>
      <c r="W143" s="14">
        <f>IF($AE143="","",IFERROR(INDEX(Players!$P$2:$P$301,$AE143),""))</f>
        <v/>
      </c>
      <c r="X143" s="14">
        <f>IF($AE143="","",IFERROR(INDEX(Players!$Q$2:$Q$301,$AE143),""))</f>
        <v/>
      </c>
      <c r="Y143" s="14">
        <f>IF($AE143="","",IFERROR(INDEX(Players!$R$2:$R$301,$AE143),""))</f>
        <v/>
      </c>
      <c r="AE143">
        <f>IFERROR(MATCH(LARGE(Players!$V$2:$V$301,139),Players!$V$2:$V$301,0),"")</f>
        <v/>
      </c>
    </row>
    <row r="144">
      <c r="A144" s="9" t="inlineStr">
        <is>
          <t>12.08</t>
        </is>
      </c>
      <c r="B144" s="18" t="inlineStr">
        <is>
          <t>Team 5</t>
        </is>
      </c>
      <c r="C144" s="19" t="n"/>
      <c r="E144" s="9" t="n">
        <v>140</v>
      </c>
      <c r="F144">
        <f>IF($AE144="","",IFERROR(INDEX(Players!$B$2:$B$301,$AE144),""))</f>
        <v/>
      </c>
      <c r="G144">
        <f>IF($AE144="","",IFERROR(INDEX(Players!$D$2:$D$301,$AE144),""))</f>
        <v/>
      </c>
      <c r="H144">
        <f>IF($AE144="","",IFERROR(INDEX(Players!$C$2:$C$301,$AE144),""))</f>
        <v/>
      </c>
      <c r="I144" s="12">
        <f>IF($AE144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-140+0.5)/3.5))))</f>
        <v/>
      </c>
      <c r="J144" s="12">
        <f>IF($AE144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-140+0.5)/3.5))))</f>
        <v/>
      </c>
      <c r="K144" s="13">
        <f>IF($AE144="","",IFERROR(INDEX(Players!$U$2:$U$301,$AE144),""))</f>
        <v/>
      </c>
      <c r="L144" s="13">
        <f>IF($AE144="","",IFERROR(INDEX(Players!$X$2:$X$301,$AE144),""))</f>
        <v/>
      </c>
      <c r="M144" s="14">
        <f>IF($AE144="","",IFERROR(INDEX(Players!$K$2:$K$301,$AE144),""))</f>
        <v/>
      </c>
      <c r="N144" s="14">
        <f>IF($AE144="","",IFERROR(INDEX(Players!$H$2:$H$301,$AE144),""))</f>
        <v/>
      </c>
      <c r="O144" s="15">
        <f>IF($AE144="","",IFERROR(INDEX(Players!$G$2:$G$301,$AE144),""))</f>
        <v/>
      </c>
      <c r="P144" s="14">
        <f>IF($AE144="","",IFERROR(INDEX(Players!$I$2:$I$301,$AE144),""))</f>
        <v/>
      </c>
      <c r="Q144" s="14">
        <f>IF($AE144="","",IFERROR(INDEX(Players!$F$2:$F$301,$AE144),""))</f>
        <v/>
      </c>
      <c r="R144" s="14">
        <f>IF($AE144="","",IFERROR(INDEX(Players!$J$2:$J$301,$AE144),""))</f>
        <v/>
      </c>
      <c r="S144" s="15">
        <f>IF($AE144="","",IFERROR(INDEX(Players!$L$2:$L$301,$AE144),""))</f>
        <v/>
      </c>
      <c r="T144" s="14">
        <f>IF($AE144="","",IFERROR(INDEX(Players!$M$2:$M$301,$AE144),""))</f>
        <v/>
      </c>
      <c r="U144" s="14">
        <f>IF($AE144="","",IFERROR(INDEX(Players!$N$2:$N$301,$AE144),""))</f>
        <v/>
      </c>
      <c r="V144" s="14">
        <f>IF($AE144="","",IFERROR(INDEX(Players!$O$2:$O$301,$AE144),""))</f>
        <v/>
      </c>
      <c r="W144" s="14">
        <f>IF($AE144="","",IFERROR(INDEX(Players!$P$2:$P$301,$AE144),""))</f>
        <v/>
      </c>
      <c r="X144" s="14">
        <f>IF($AE144="","",IFERROR(INDEX(Players!$Q$2:$Q$301,$AE144),""))</f>
        <v/>
      </c>
      <c r="Y144" s="14">
        <f>IF($AE144="","",IFERROR(INDEX(Players!$R$2:$R$301,$AE144),""))</f>
        <v/>
      </c>
      <c r="AE144">
        <f>IFERROR(MATCH(LARGE(Players!$V$2:$V$301,140),Players!$V$2:$V$301,0),"")</f>
        <v/>
      </c>
    </row>
    <row r="145">
      <c r="A145" s="9" t="inlineStr">
        <is>
          <t>12.09</t>
        </is>
      </c>
      <c r="B145" s="18" t="inlineStr">
        <is>
          <t>Team 4</t>
        </is>
      </c>
      <c r="C145" s="19" t="n"/>
      <c r="E145" s="9" t="n">
        <v>141</v>
      </c>
      <c r="F145">
        <f>IF($AE145="","",IFERROR(INDEX(Players!$B$2:$B$301,$AE145),""))</f>
        <v/>
      </c>
      <c r="G145">
        <f>IF($AE145="","",IFERROR(INDEX(Players!$D$2:$D$301,$AE145),""))</f>
        <v/>
      </c>
      <c r="H145">
        <f>IF($AE145="","",IFERROR(INDEX(Players!$C$2:$C$301,$AE145),""))</f>
        <v/>
      </c>
      <c r="I145" s="12">
        <f>IF($AE145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-141+0.5)/3.5))))</f>
        <v/>
      </c>
      <c r="J145" s="12">
        <f>IF($AE145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-141+0.5)/3.5))))</f>
        <v/>
      </c>
      <c r="K145" s="13">
        <f>IF($AE145="","",IFERROR(INDEX(Players!$U$2:$U$301,$AE145),""))</f>
        <v/>
      </c>
      <c r="L145" s="13">
        <f>IF($AE145="","",IFERROR(INDEX(Players!$X$2:$X$301,$AE145),""))</f>
        <v/>
      </c>
      <c r="M145" s="14">
        <f>IF($AE145="","",IFERROR(INDEX(Players!$K$2:$K$301,$AE145),""))</f>
        <v/>
      </c>
      <c r="N145" s="14">
        <f>IF($AE145="","",IFERROR(INDEX(Players!$H$2:$H$301,$AE145),""))</f>
        <v/>
      </c>
      <c r="O145" s="15">
        <f>IF($AE145="","",IFERROR(INDEX(Players!$G$2:$G$301,$AE145),""))</f>
        <v/>
      </c>
      <c r="P145" s="14">
        <f>IF($AE145="","",IFERROR(INDEX(Players!$I$2:$I$301,$AE145),""))</f>
        <v/>
      </c>
      <c r="Q145" s="14">
        <f>IF($AE145="","",IFERROR(INDEX(Players!$F$2:$F$301,$AE145),""))</f>
        <v/>
      </c>
      <c r="R145" s="14">
        <f>IF($AE145="","",IFERROR(INDEX(Players!$J$2:$J$301,$AE145),""))</f>
        <v/>
      </c>
      <c r="S145" s="15">
        <f>IF($AE145="","",IFERROR(INDEX(Players!$L$2:$L$301,$AE145),""))</f>
        <v/>
      </c>
      <c r="T145" s="14">
        <f>IF($AE145="","",IFERROR(INDEX(Players!$M$2:$M$301,$AE145),""))</f>
        <v/>
      </c>
      <c r="U145" s="14">
        <f>IF($AE145="","",IFERROR(INDEX(Players!$N$2:$N$301,$AE145),""))</f>
        <v/>
      </c>
      <c r="V145" s="14">
        <f>IF($AE145="","",IFERROR(INDEX(Players!$O$2:$O$301,$AE145),""))</f>
        <v/>
      </c>
      <c r="W145" s="14">
        <f>IF($AE145="","",IFERROR(INDEX(Players!$P$2:$P$301,$AE145),""))</f>
        <v/>
      </c>
      <c r="X145" s="14">
        <f>IF($AE145="","",IFERROR(INDEX(Players!$Q$2:$Q$301,$AE145),""))</f>
        <v/>
      </c>
      <c r="Y145" s="14">
        <f>IF($AE145="","",IFERROR(INDEX(Players!$R$2:$R$301,$AE145),""))</f>
        <v/>
      </c>
      <c r="AE145">
        <f>IFERROR(MATCH(LARGE(Players!$V$2:$V$301,141),Players!$V$2:$V$301,0),"")</f>
        <v/>
      </c>
    </row>
    <row r="146">
      <c r="A146" s="9" t="inlineStr">
        <is>
          <t>12.10</t>
        </is>
      </c>
      <c r="B146" s="18" t="inlineStr">
        <is>
          <t>Team 3</t>
        </is>
      </c>
      <c r="C146" s="19" t="n"/>
      <c r="E146" s="9" t="n">
        <v>142</v>
      </c>
      <c r="F146">
        <f>IF($AE146="","",IFERROR(INDEX(Players!$B$2:$B$301,$AE146),""))</f>
        <v/>
      </c>
      <c r="G146">
        <f>IF($AE146="","",IFERROR(INDEX(Players!$D$2:$D$301,$AE146),""))</f>
        <v/>
      </c>
      <c r="H146">
        <f>IF($AE146="","",IFERROR(INDEX(Players!$C$2:$C$301,$AE146),""))</f>
        <v/>
      </c>
      <c r="I146" s="12">
        <f>IF($AE146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-142+0.5)/3.5))))</f>
        <v/>
      </c>
      <c r="J146" s="12">
        <f>IF($AE146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-142+0.5)/3.5))))</f>
        <v/>
      </c>
      <c r="K146" s="13">
        <f>IF($AE146="","",IFERROR(INDEX(Players!$U$2:$U$301,$AE146),""))</f>
        <v/>
      </c>
      <c r="L146" s="13">
        <f>IF($AE146="","",IFERROR(INDEX(Players!$X$2:$X$301,$AE146),""))</f>
        <v/>
      </c>
      <c r="M146" s="14">
        <f>IF($AE146="","",IFERROR(INDEX(Players!$K$2:$K$301,$AE146),""))</f>
        <v/>
      </c>
      <c r="N146" s="14">
        <f>IF($AE146="","",IFERROR(INDEX(Players!$H$2:$H$301,$AE146),""))</f>
        <v/>
      </c>
      <c r="O146" s="15">
        <f>IF($AE146="","",IFERROR(INDEX(Players!$G$2:$G$301,$AE146),""))</f>
        <v/>
      </c>
      <c r="P146" s="14">
        <f>IF($AE146="","",IFERROR(INDEX(Players!$I$2:$I$301,$AE146),""))</f>
        <v/>
      </c>
      <c r="Q146" s="14">
        <f>IF($AE146="","",IFERROR(INDEX(Players!$F$2:$F$301,$AE146),""))</f>
        <v/>
      </c>
      <c r="R146" s="14">
        <f>IF($AE146="","",IFERROR(INDEX(Players!$J$2:$J$301,$AE146),""))</f>
        <v/>
      </c>
      <c r="S146" s="15">
        <f>IF($AE146="","",IFERROR(INDEX(Players!$L$2:$L$301,$AE146),""))</f>
        <v/>
      </c>
      <c r="T146" s="14">
        <f>IF($AE146="","",IFERROR(INDEX(Players!$M$2:$M$301,$AE146),""))</f>
        <v/>
      </c>
      <c r="U146" s="14">
        <f>IF($AE146="","",IFERROR(INDEX(Players!$N$2:$N$301,$AE146),""))</f>
        <v/>
      </c>
      <c r="V146" s="14">
        <f>IF($AE146="","",IFERROR(INDEX(Players!$O$2:$O$301,$AE146),""))</f>
        <v/>
      </c>
      <c r="W146" s="14">
        <f>IF($AE146="","",IFERROR(INDEX(Players!$P$2:$P$301,$AE146),""))</f>
        <v/>
      </c>
      <c r="X146" s="14">
        <f>IF($AE146="","",IFERROR(INDEX(Players!$Q$2:$Q$301,$AE146),""))</f>
        <v/>
      </c>
      <c r="Y146" s="14">
        <f>IF($AE146="","",IFERROR(INDEX(Players!$R$2:$R$301,$AE146),""))</f>
        <v/>
      </c>
      <c r="AE146">
        <f>IFERROR(MATCH(LARGE(Players!$V$2:$V$301,142),Players!$V$2:$V$301,0),"")</f>
        <v/>
      </c>
    </row>
    <row r="147">
      <c r="A147" s="9" t="inlineStr">
        <is>
          <t>12.11</t>
        </is>
      </c>
      <c r="B147" s="18" t="inlineStr">
        <is>
          <t>Team 2</t>
        </is>
      </c>
      <c r="C147" s="19" t="n"/>
      <c r="E147" s="9" t="n">
        <v>143</v>
      </c>
      <c r="F147">
        <f>IF($AE147="","",IFERROR(INDEX(Players!$B$2:$B$301,$AE147),""))</f>
        <v/>
      </c>
      <c r="G147">
        <f>IF($AE147="","",IFERROR(INDEX(Players!$D$2:$D$301,$AE147),""))</f>
        <v/>
      </c>
      <c r="H147">
        <f>IF($AE147="","",IFERROR(INDEX(Players!$C$2:$C$301,$AE147),""))</f>
        <v/>
      </c>
      <c r="I147" s="12">
        <f>IF($AE147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-143+0.5)/3.5))))</f>
        <v/>
      </c>
      <c r="J147" s="12">
        <f>IF($AE147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-143+0.5)/3.5))))</f>
        <v/>
      </c>
      <c r="K147" s="13">
        <f>IF($AE147="","",IFERROR(INDEX(Players!$U$2:$U$301,$AE147),""))</f>
        <v/>
      </c>
      <c r="L147" s="13">
        <f>IF($AE147="","",IFERROR(INDEX(Players!$X$2:$X$301,$AE147),""))</f>
        <v/>
      </c>
      <c r="M147" s="14">
        <f>IF($AE147="","",IFERROR(INDEX(Players!$K$2:$K$301,$AE147),""))</f>
        <v/>
      </c>
      <c r="N147" s="14">
        <f>IF($AE147="","",IFERROR(INDEX(Players!$H$2:$H$301,$AE147),""))</f>
        <v/>
      </c>
      <c r="O147" s="15">
        <f>IF($AE147="","",IFERROR(INDEX(Players!$G$2:$G$301,$AE147),""))</f>
        <v/>
      </c>
      <c r="P147" s="14">
        <f>IF($AE147="","",IFERROR(INDEX(Players!$I$2:$I$301,$AE147),""))</f>
        <v/>
      </c>
      <c r="Q147" s="14">
        <f>IF($AE147="","",IFERROR(INDEX(Players!$F$2:$F$301,$AE147),""))</f>
        <v/>
      </c>
      <c r="R147" s="14">
        <f>IF($AE147="","",IFERROR(INDEX(Players!$J$2:$J$301,$AE147),""))</f>
        <v/>
      </c>
      <c r="S147" s="15">
        <f>IF($AE147="","",IFERROR(INDEX(Players!$L$2:$L$301,$AE147),""))</f>
        <v/>
      </c>
      <c r="T147" s="14">
        <f>IF($AE147="","",IFERROR(INDEX(Players!$M$2:$M$301,$AE147),""))</f>
        <v/>
      </c>
      <c r="U147" s="14">
        <f>IF($AE147="","",IFERROR(INDEX(Players!$N$2:$N$301,$AE147),""))</f>
        <v/>
      </c>
      <c r="V147" s="14">
        <f>IF($AE147="","",IFERROR(INDEX(Players!$O$2:$O$301,$AE147),""))</f>
        <v/>
      </c>
      <c r="W147" s="14">
        <f>IF($AE147="","",IFERROR(INDEX(Players!$P$2:$P$301,$AE147),""))</f>
        <v/>
      </c>
      <c r="X147" s="14">
        <f>IF($AE147="","",IFERROR(INDEX(Players!$Q$2:$Q$301,$AE147),""))</f>
        <v/>
      </c>
      <c r="Y147" s="14">
        <f>IF($AE147="","",IFERROR(INDEX(Players!$R$2:$R$301,$AE147),""))</f>
        <v/>
      </c>
      <c r="AE147">
        <f>IFERROR(MATCH(LARGE(Players!$V$2:$V$301,143),Players!$V$2:$V$301,0),"")</f>
        <v/>
      </c>
    </row>
    <row r="148">
      <c r="A148" s="9" t="inlineStr">
        <is>
          <t>12.12</t>
        </is>
      </c>
      <c r="B148" s="10" t="inlineStr">
        <is>
          <t>Team 1</t>
        </is>
      </c>
      <c r="C148" s="11" t="n"/>
      <c r="E148" s="9" t="n">
        <v>144</v>
      </c>
      <c r="F148">
        <f>IF($AE148="","",IFERROR(INDEX(Players!$B$2:$B$301,$AE148),""))</f>
        <v/>
      </c>
      <c r="G148">
        <f>IF($AE148="","",IFERROR(INDEX(Players!$D$2:$D$301,$AE148),""))</f>
        <v/>
      </c>
      <c r="H148">
        <f>IF($AE148="","",IFERROR(INDEX(Players!$C$2:$C$301,$AE148),""))</f>
        <v/>
      </c>
      <c r="I148" s="12">
        <f>IF($AE148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-144+0.5)/3.5))))</f>
        <v/>
      </c>
      <c r="J148" s="12">
        <f>IF($AE148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-144+0.5)/3.5))))</f>
        <v/>
      </c>
      <c r="K148" s="13">
        <f>IF($AE148="","",IFERROR(INDEX(Players!$U$2:$U$301,$AE148),""))</f>
        <v/>
      </c>
      <c r="L148" s="13">
        <f>IF($AE148="","",IFERROR(INDEX(Players!$X$2:$X$301,$AE148),""))</f>
        <v/>
      </c>
      <c r="M148" s="14">
        <f>IF($AE148="","",IFERROR(INDEX(Players!$K$2:$K$301,$AE148),""))</f>
        <v/>
      </c>
      <c r="N148" s="14">
        <f>IF($AE148="","",IFERROR(INDEX(Players!$H$2:$H$301,$AE148),""))</f>
        <v/>
      </c>
      <c r="O148" s="15">
        <f>IF($AE148="","",IFERROR(INDEX(Players!$G$2:$G$301,$AE148),""))</f>
        <v/>
      </c>
      <c r="P148" s="14">
        <f>IF($AE148="","",IFERROR(INDEX(Players!$I$2:$I$301,$AE148),""))</f>
        <v/>
      </c>
      <c r="Q148" s="14">
        <f>IF($AE148="","",IFERROR(INDEX(Players!$F$2:$F$301,$AE148),""))</f>
        <v/>
      </c>
      <c r="R148" s="14">
        <f>IF($AE148="","",IFERROR(INDEX(Players!$J$2:$J$301,$AE148),""))</f>
        <v/>
      </c>
      <c r="S148" s="15">
        <f>IF($AE148="","",IFERROR(INDEX(Players!$L$2:$L$301,$AE148),""))</f>
        <v/>
      </c>
      <c r="T148" s="14">
        <f>IF($AE148="","",IFERROR(INDEX(Players!$M$2:$M$301,$AE148),""))</f>
        <v/>
      </c>
      <c r="U148" s="14">
        <f>IF($AE148="","",IFERROR(INDEX(Players!$N$2:$N$301,$AE148),""))</f>
        <v/>
      </c>
      <c r="V148" s="14">
        <f>IF($AE148="","",IFERROR(INDEX(Players!$O$2:$O$301,$AE148),""))</f>
        <v/>
      </c>
      <c r="W148" s="14">
        <f>IF($AE148="","",IFERROR(INDEX(Players!$P$2:$P$301,$AE148),""))</f>
        <v/>
      </c>
      <c r="X148" s="14">
        <f>IF($AE148="","",IFERROR(INDEX(Players!$Q$2:$Q$301,$AE148),""))</f>
        <v/>
      </c>
      <c r="Y148" s="14">
        <f>IF($AE148="","",IFERROR(INDEX(Players!$R$2:$R$301,$AE148),""))</f>
        <v/>
      </c>
      <c r="AE148">
        <f>IFERROR(MATCH(LARGE(Players!$V$2:$V$301,144),Players!$V$2:$V$301,0),"")</f>
        <v/>
      </c>
    </row>
    <row r="149">
      <c r="A149" s="9" t="inlineStr">
        <is>
          <t>13.01</t>
        </is>
      </c>
      <c r="B149" s="10" t="inlineStr">
        <is>
          <t>Team 1</t>
        </is>
      </c>
      <c r="C149" s="11" t="n"/>
      <c r="E149" s="9" t="n">
        <v>145</v>
      </c>
      <c r="F149">
        <f>IF($AE149="","",IFERROR(INDEX(Players!$B$2:$B$301,$AE149),""))</f>
        <v/>
      </c>
      <c r="G149">
        <f>IF($AE149="","",IFERROR(INDEX(Players!$D$2:$D$301,$AE149),""))</f>
        <v/>
      </c>
      <c r="H149">
        <f>IF($AE149="","",IFERROR(INDEX(Players!$C$2:$C$301,$AE149),""))</f>
        <v/>
      </c>
      <c r="I149" s="12">
        <f>IF($AE149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-145+0.5)/3.5))))</f>
        <v/>
      </c>
      <c r="J149" s="12">
        <f>IF($AE149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-145+0.5)/3.5))))</f>
        <v/>
      </c>
      <c r="K149" s="13">
        <f>IF($AE149="","",IFERROR(INDEX(Players!$U$2:$U$301,$AE149),""))</f>
        <v/>
      </c>
      <c r="L149" s="13">
        <f>IF($AE149="","",IFERROR(INDEX(Players!$X$2:$X$301,$AE149),""))</f>
        <v/>
      </c>
      <c r="M149" s="14">
        <f>IF($AE149="","",IFERROR(INDEX(Players!$K$2:$K$301,$AE149),""))</f>
        <v/>
      </c>
      <c r="N149" s="14">
        <f>IF($AE149="","",IFERROR(INDEX(Players!$H$2:$H$301,$AE149),""))</f>
        <v/>
      </c>
      <c r="O149" s="15">
        <f>IF($AE149="","",IFERROR(INDEX(Players!$G$2:$G$301,$AE149),""))</f>
        <v/>
      </c>
      <c r="P149" s="14">
        <f>IF($AE149="","",IFERROR(INDEX(Players!$I$2:$I$301,$AE149),""))</f>
        <v/>
      </c>
      <c r="Q149" s="14">
        <f>IF($AE149="","",IFERROR(INDEX(Players!$F$2:$F$301,$AE149),""))</f>
        <v/>
      </c>
      <c r="R149" s="14">
        <f>IF($AE149="","",IFERROR(INDEX(Players!$J$2:$J$301,$AE149),""))</f>
        <v/>
      </c>
      <c r="S149" s="15">
        <f>IF($AE149="","",IFERROR(INDEX(Players!$L$2:$L$301,$AE149),""))</f>
        <v/>
      </c>
      <c r="T149" s="14">
        <f>IF($AE149="","",IFERROR(INDEX(Players!$M$2:$M$301,$AE149),""))</f>
        <v/>
      </c>
      <c r="U149" s="14">
        <f>IF($AE149="","",IFERROR(INDEX(Players!$N$2:$N$301,$AE149),""))</f>
        <v/>
      </c>
      <c r="V149" s="14">
        <f>IF($AE149="","",IFERROR(INDEX(Players!$O$2:$O$301,$AE149),""))</f>
        <v/>
      </c>
      <c r="W149" s="14">
        <f>IF($AE149="","",IFERROR(INDEX(Players!$P$2:$P$301,$AE149),""))</f>
        <v/>
      </c>
      <c r="X149" s="14">
        <f>IF($AE149="","",IFERROR(INDEX(Players!$Q$2:$Q$301,$AE149),""))</f>
        <v/>
      </c>
      <c r="Y149" s="14">
        <f>IF($AE149="","",IFERROR(INDEX(Players!$R$2:$R$301,$AE149),""))</f>
        <v/>
      </c>
      <c r="AE149">
        <f>IFERROR(MATCH(LARGE(Players!$V$2:$V$301,145),Players!$V$2:$V$301,0),"")</f>
        <v/>
      </c>
    </row>
    <row r="150">
      <c r="A150" s="9" t="inlineStr">
        <is>
          <t>13.02</t>
        </is>
      </c>
      <c r="B150" s="18" t="inlineStr">
        <is>
          <t>Team 2</t>
        </is>
      </c>
      <c r="C150" s="19" t="n"/>
      <c r="E150" s="9" t="n">
        <v>146</v>
      </c>
      <c r="F150">
        <f>IF($AE150="","",IFERROR(INDEX(Players!$B$2:$B$301,$AE150),""))</f>
        <v/>
      </c>
      <c r="G150">
        <f>IF($AE150="","",IFERROR(INDEX(Players!$D$2:$D$301,$AE150),""))</f>
        <v/>
      </c>
      <c r="H150">
        <f>IF($AE150="","",IFERROR(INDEX(Players!$C$2:$C$301,$AE150),""))</f>
        <v/>
      </c>
      <c r="I150" s="12">
        <f>IF($AE150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-146+0.5)/3.5))))</f>
        <v/>
      </c>
      <c r="J150" s="12">
        <f>IF($AE150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-146+0.5)/3.5))))</f>
        <v/>
      </c>
      <c r="K150" s="13">
        <f>IF($AE150="","",IFERROR(INDEX(Players!$U$2:$U$301,$AE150),""))</f>
        <v/>
      </c>
      <c r="L150" s="13">
        <f>IF($AE150="","",IFERROR(INDEX(Players!$X$2:$X$301,$AE150),""))</f>
        <v/>
      </c>
      <c r="M150" s="14">
        <f>IF($AE150="","",IFERROR(INDEX(Players!$K$2:$K$301,$AE150),""))</f>
        <v/>
      </c>
      <c r="N150" s="14">
        <f>IF($AE150="","",IFERROR(INDEX(Players!$H$2:$H$301,$AE150),""))</f>
        <v/>
      </c>
      <c r="O150" s="15">
        <f>IF($AE150="","",IFERROR(INDEX(Players!$G$2:$G$301,$AE150),""))</f>
        <v/>
      </c>
      <c r="P150" s="14">
        <f>IF($AE150="","",IFERROR(INDEX(Players!$I$2:$I$301,$AE150),""))</f>
        <v/>
      </c>
      <c r="Q150" s="14">
        <f>IF($AE150="","",IFERROR(INDEX(Players!$F$2:$F$301,$AE150),""))</f>
        <v/>
      </c>
      <c r="R150" s="14">
        <f>IF($AE150="","",IFERROR(INDEX(Players!$J$2:$J$301,$AE150),""))</f>
        <v/>
      </c>
      <c r="S150" s="15">
        <f>IF($AE150="","",IFERROR(INDEX(Players!$L$2:$L$301,$AE150),""))</f>
        <v/>
      </c>
      <c r="T150" s="14">
        <f>IF($AE150="","",IFERROR(INDEX(Players!$M$2:$M$301,$AE150),""))</f>
        <v/>
      </c>
      <c r="U150" s="14">
        <f>IF($AE150="","",IFERROR(INDEX(Players!$N$2:$N$301,$AE150),""))</f>
        <v/>
      </c>
      <c r="V150" s="14">
        <f>IF($AE150="","",IFERROR(INDEX(Players!$O$2:$O$301,$AE150),""))</f>
        <v/>
      </c>
      <c r="W150" s="14">
        <f>IF($AE150="","",IFERROR(INDEX(Players!$P$2:$P$301,$AE150),""))</f>
        <v/>
      </c>
      <c r="X150" s="14">
        <f>IF($AE150="","",IFERROR(INDEX(Players!$Q$2:$Q$301,$AE150),""))</f>
        <v/>
      </c>
      <c r="Y150" s="14">
        <f>IF($AE150="","",IFERROR(INDEX(Players!$R$2:$R$301,$AE150),""))</f>
        <v/>
      </c>
      <c r="AE150">
        <f>IFERROR(MATCH(LARGE(Players!$V$2:$V$301,146),Players!$V$2:$V$301,0),"")</f>
        <v/>
      </c>
    </row>
    <row r="151">
      <c r="A151" s="9" t="inlineStr">
        <is>
          <t>13.03</t>
        </is>
      </c>
      <c r="B151" s="18" t="inlineStr">
        <is>
          <t>Team 3</t>
        </is>
      </c>
      <c r="C151" s="19" t="n"/>
      <c r="E151" s="9" t="n">
        <v>147</v>
      </c>
      <c r="F151">
        <f>IF($AE151="","",IFERROR(INDEX(Players!$B$2:$B$301,$AE151),""))</f>
        <v/>
      </c>
      <c r="G151">
        <f>IF($AE151="","",IFERROR(INDEX(Players!$D$2:$D$301,$AE151),""))</f>
        <v/>
      </c>
      <c r="H151">
        <f>IF($AE151="","",IFERROR(INDEX(Players!$C$2:$C$301,$AE151),""))</f>
        <v/>
      </c>
      <c r="I151" s="12">
        <f>IF($AE151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-147+0.5)/3.5))))</f>
        <v/>
      </c>
      <c r="J151" s="12">
        <f>IF($AE151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-147+0.5)/3.5))))</f>
        <v/>
      </c>
      <c r="K151" s="13">
        <f>IF($AE151="","",IFERROR(INDEX(Players!$U$2:$U$301,$AE151),""))</f>
        <v/>
      </c>
      <c r="L151" s="13">
        <f>IF($AE151="","",IFERROR(INDEX(Players!$X$2:$X$301,$AE151),""))</f>
        <v/>
      </c>
      <c r="M151" s="14">
        <f>IF($AE151="","",IFERROR(INDEX(Players!$K$2:$K$301,$AE151),""))</f>
        <v/>
      </c>
      <c r="N151" s="14">
        <f>IF($AE151="","",IFERROR(INDEX(Players!$H$2:$H$301,$AE151),""))</f>
        <v/>
      </c>
      <c r="O151" s="15">
        <f>IF($AE151="","",IFERROR(INDEX(Players!$G$2:$G$301,$AE151),""))</f>
        <v/>
      </c>
      <c r="P151" s="14">
        <f>IF($AE151="","",IFERROR(INDEX(Players!$I$2:$I$301,$AE151),""))</f>
        <v/>
      </c>
      <c r="Q151" s="14">
        <f>IF($AE151="","",IFERROR(INDEX(Players!$F$2:$F$301,$AE151),""))</f>
        <v/>
      </c>
      <c r="R151" s="14">
        <f>IF($AE151="","",IFERROR(INDEX(Players!$J$2:$J$301,$AE151),""))</f>
        <v/>
      </c>
      <c r="S151" s="15">
        <f>IF($AE151="","",IFERROR(INDEX(Players!$L$2:$L$301,$AE151),""))</f>
        <v/>
      </c>
      <c r="T151" s="14">
        <f>IF($AE151="","",IFERROR(INDEX(Players!$M$2:$M$301,$AE151),""))</f>
        <v/>
      </c>
      <c r="U151" s="14">
        <f>IF($AE151="","",IFERROR(INDEX(Players!$N$2:$N$301,$AE151),""))</f>
        <v/>
      </c>
      <c r="V151" s="14">
        <f>IF($AE151="","",IFERROR(INDEX(Players!$O$2:$O$301,$AE151),""))</f>
        <v/>
      </c>
      <c r="W151" s="14">
        <f>IF($AE151="","",IFERROR(INDEX(Players!$P$2:$P$301,$AE151),""))</f>
        <v/>
      </c>
      <c r="X151" s="14">
        <f>IF($AE151="","",IFERROR(INDEX(Players!$Q$2:$Q$301,$AE151),""))</f>
        <v/>
      </c>
      <c r="Y151" s="14">
        <f>IF($AE151="","",IFERROR(INDEX(Players!$R$2:$R$301,$AE151),""))</f>
        <v/>
      </c>
      <c r="AE151">
        <f>IFERROR(MATCH(LARGE(Players!$V$2:$V$301,147),Players!$V$2:$V$301,0),"")</f>
        <v/>
      </c>
    </row>
    <row r="152">
      <c r="A152" s="9" t="inlineStr">
        <is>
          <t>13.04</t>
        </is>
      </c>
      <c r="B152" s="18" t="inlineStr">
        <is>
          <t>Team 4</t>
        </is>
      </c>
      <c r="C152" s="19" t="n"/>
      <c r="E152" s="9" t="n">
        <v>148</v>
      </c>
      <c r="F152">
        <f>IF($AE152="","",IFERROR(INDEX(Players!$B$2:$B$301,$AE152),""))</f>
        <v/>
      </c>
      <c r="G152">
        <f>IF($AE152="","",IFERROR(INDEX(Players!$D$2:$D$301,$AE152),""))</f>
        <v/>
      </c>
      <c r="H152">
        <f>IF($AE152="","",IFERROR(INDEX(Players!$C$2:$C$301,$AE152),""))</f>
        <v/>
      </c>
      <c r="I152" s="12">
        <f>IF($AE152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-148+0.5)/3.5))))</f>
        <v/>
      </c>
      <c r="J152" s="12">
        <f>IF($AE152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-148+0.5)/3.5))))</f>
        <v/>
      </c>
      <c r="K152" s="13">
        <f>IF($AE152="","",IFERROR(INDEX(Players!$U$2:$U$301,$AE152),""))</f>
        <v/>
      </c>
      <c r="L152" s="13">
        <f>IF($AE152="","",IFERROR(INDEX(Players!$X$2:$X$301,$AE152),""))</f>
        <v/>
      </c>
      <c r="M152" s="14">
        <f>IF($AE152="","",IFERROR(INDEX(Players!$K$2:$K$301,$AE152),""))</f>
        <v/>
      </c>
      <c r="N152" s="14">
        <f>IF($AE152="","",IFERROR(INDEX(Players!$H$2:$H$301,$AE152),""))</f>
        <v/>
      </c>
      <c r="O152" s="15">
        <f>IF($AE152="","",IFERROR(INDEX(Players!$G$2:$G$301,$AE152),""))</f>
        <v/>
      </c>
      <c r="P152" s="14">
        <f>IF($AE152="","",IFERROR(INDEX(Players!$I$2:$I$301,$AE152),""))</f>
        <v/>
      </c>
      <c r="Q152" s="14">
        <f>IF($AE152="","",IFERROR(INDEX(Players!$F$2:$F$301,$AE152),""))</f>
        <v/>
      </c>
      <c r="R152" s="14">
        <f>IF($AE152="","",IFERROR(INDEX(Players!$J$2:$J$301,$AE152),""))</f>
        <v/>
      </c>
      <c r="S152" s="15">
        <f>IF($AE152="","",IFERROR(INDEX(Players!$L$2:$L$301,$AE152),""))</f>
        <v/>
      </c>
      <c r="T152" s="14">
        <f>IF($AE152="","",IFERROR(INDEX(Players!$M$2:$M$301,$AE152),""))</f>
        <v/>
      </c>
      <c r="U152" s="14">
        <f>IF($AE152="","",IFERROR(INDEX(Players!$N$2:$N$301,$AE152),""))</f>
        <v/>
      </c>
      <c r="V152" s="14">
        <f>IF($AE152="","",IFERROR(INDEX(Players!$O$2:$O$301,$AE152),""))</f>
        <v/>
      </c>
      <c r="W152" s="14">
        <f>IF($AE152="","",IFERROR(INDEX(Players!$P$2:$P$301,$AE152),""))</f>
        <v/>
      </c>
      <c r="X152" s="14">
        <f>IF($AE152="","",IFERROR(INDEX(Players!$Q$2:$Q$301,$AE152),""))</f>
        <v/>
      </c>
      <c r="Y152" s="14">
        <f>IF($AE152="","",IFERROR(INDEX(Players!$R$2:$R$301,$AE152),""))</f>
        <v/>
      </c>
      <c r="AE152">
        <f>IFERROR(MATCH(LARGE(Players!$V$2:$V$301,148),Players!$V$2:$V$301,0),"")</f>
        <v/>
      </c>
    </row>
    <row r="153">
      <c r="A153" s="9" t="inlineStr">
        <is>
          <t>13.05</t>
        </is>
      </c>
      <c r="B153" s="18" t="inlineStr">
        <is>
          <t>Team 5</t>
        </is>
      </c>
      <c r="C153" s="19" t="n"/>
      <c r="E153" s="9" t="n">
        <v>149</v>
      </c>
      <c r="F153">
        <f>IF($AE153="","",IFERROR(INDEX(Players!$B$2:$B$301,$AE153),""))</f>
        <v/>
      </c>
      <c r="G153">
        <f>IF($AE153="","",IFERROR(INDEX(Players!$D$2:$D$301,$AE153),""))</f>
        <v/>
      </c>
      <c r="H153">
        <f>IF($AE153="","",IFERROR(INDEX(Players!$C$2:$C$301,$AE153),""))</f>
        <v/>
      </c>
      <c r="I153" s="12">
        <f>IF($AE153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-149+0.5)/3.5))))</f>
        <v/>
      </c>
      <c r="J153" s="12">
        <f>IF($AE153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-149+0.5)/3.5))))</f>
        <v/>
      </c>
      <c r="K153" s="13">
        <f>IF($AE153="","",IFERROR(INDEX(Players!$U$2:$U$301,$AE153),""))</f>
        <v/>
      </c>
      <c r="L153" s="13">
        <f>IF($AE153="","",IFERROR(INDEX(Players!$X$2:$X$301,$AE153),""))</f>
        <v/>
      </c>
      <c r="M153" s="14">
        <f>IF($AE153="","",IFERROR(INDEX(Players!$K$2:$K$301,$AE153),""))</f>
        <v/>
      </c>
      <c r="N153" s="14">
        <f>IF($AE153="","",IFERROR(INDEX(Players!$H$2:$H$301,$AE153),""))</f>
        <v/>
      </c>
      <c r="O153" s="15">
        <f>IF($AE153="","",IFERROR(INDEX(Players!$G$2:$G$301,$AE153),""))</f>
        <v/>
      </c>
      <c r="P153" s="14">
        <f>IF($AE153="","",IFERROR(INDEX(Players!$I$2:$I$301,$AE153),""))</f>
        <v/>
      </c>
      <c r="Q153" s="14">
        <f>IF($AE153="","",IFERROR(INDEX(Players!$F$2:$F$301,$AE153),""))</f>
        <v/>
      </c>
      <c r="R153" s="14">
        <f>IF($AE153="","",IFERROR(INDEX(Players!$J$2:$J$301,$AE153),""))</f>
        <v/>
      </c>
      <c r="S153" s="15">
        <f>IF($AE153="","",IFERROR(INDEX(Players!$L$2:$L$301,$AE153),""))</f>
        <v/>
      </c>
      <c r="T153" s="14">
        <f>IF($AE153="","",IFERROR(INDEX(Players!$M$2:$M$301,$AE153),""))</f>
        <v/>
      </c>
      <c r="U153" s="14">
        <f>IF($AE153="","",IFERROR(INDEX(Players!$N$2:$N$301,$AE153),""))</f>
        <v/>
      </c>
      <c r="V153" s="14">
        <f>IF($AE153="","",IFERROR(INDEX(Players!$O$2:$O$301,$AE153),""))</f>
        <v/>
      </c>
      <c r="W153" s="14">
        <f>IF($AE153="","",IFERROR(INDEX(Players!$P$2:$P$301,$AE153),""))</f>
        <v/>
      </c>
      <c r="X153" s="14">
        <f>IF($AE153="","",IFERROR(INDEX(Players!$Q$2:$Q$301,$AE153),""))</f>
        <v/>
      </c>
      <c r="Y153" s="14">
        <f>IF($AE153="","",IFERROR(INDEX(Players!$R$2:$R$301,$AE153),""))</f>
        <v/>
      </c>
      <c r="AE153">
        <f>IFERROR(MATCH(LARGE(Players!$V$2:$V$301,149),Players!$V$2:$V$301,0),"")</f>
        <v/>
      </c>
    </row>
    <row r="154">
      <c r="A154" s="9" t="inlineStr">
        <is>
          <t>13.06</t>
        </is>
      </c>
      <c r="B154" s="18" t="inlineStr">
        <is>
          <t>Team 6</t>
        </is>
      </c>
      <c r="C154" s="19" t="n"/>
      <c r="E154" s="9" t="n">
        <v>150</v>
      </c>
      <c r="F154">
        <f>IF($AE154="","",IFERROR(INDEX(Players!$B$2:$B$301,$AE154),""))</f>
        <v/>
      </c>
      <c r="G154">
        <f>IF($AE154="","",IFERROR(INDEX(Players!$D$2:$D$301,$AE154),""))</f>
        <v/>
      </c>
      <c r="H154">
        <f>IF($AE154="","",IFERROR(INDEX(Players!$C$2:$C$301,$AE154),""))</f>
        <v/>
      </c>
      <c r="I154" s="12">
        <f>IF($AE154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-150+0.5)/3.5))))</f>
        <v/>
      </c>
      <c r="J154" s="12">
        <f>IF($AE154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-150+0.5)/3.5))))</f>
        <v/>
      </c>
      <c r="K154" s="13">
        <f>IF($AE154="","",IFERROR(INDEX(Players!$U$2:$U$301,$AE154),""))</f>
        <v/>
      </c>
      <c r="L154" s="13">
        <f>IF($AE154="","",IFERROR(INDEX(Players!$X$2:$X$301,$AE154),""))</f>
        <v/>
      </c>
      <c r="M154" s="14">
        <f>IF($AE154="","",IFERROR(INDEX(Players!$K$2:$K$301,$AE154),""))</f>
        <v/>
      </c>
      <c r="N154" s="14">
        <f>IF($AE154="","",IFERROR(INDEX(Players!$H$2:$H$301,$AE154),""))</f>
        <v/>
      </c>
      <c r="O154" s="15">
        <f>IF($AE154="","",IFERROR(INDEX(Players!$G$2:$G$301,$AE154),""))</f>
        <v/>
      </c>
      <c r="P154" s="14">
        <f>IF($AE154="","",IFERROR(INDEX(Players!$I$2:$I$301,$AE154),""))</f>
        <v/>
      </c>
      <c r="Q154" s="14">
        <f>IF($AE154="","",IFERROR(INDEX(Players!$F$2:$F$301,$AE154),""))</f>
        <v/>
      </c>
      <c r="R154" s="14">
        <f>IF($AE154="","",IFERROR(INDEX(Players!$J$2:$J$301,$AE154),""))</f>
        <v/>
      </c>
      <c r="S154" s="15">
        <f>IF($AE154="","",IFERROR(INDEX(Players!$L$2:$L$301,$AE154),""))</f>
        <v/>
      </c>
      <c r="T154" s="14">
        <f>IF($AE154="","",IFERROR(INDEX(Players!$M$2:$M$301,$AE154),""))</f>
        <v/>
      </c>
      <c r="U154" s="14">
        <f>IF($AE154="","",IFERROR(INDEX(Players!$N$2:$N$301,$AE154),""))</f>
        <v/>
      </c>
      <c r="V154" s="14">
        <f>IF($AE154="","",IFERROR(INDEX(Players!$O$2:$O$301,$AE154),""))</f>
        <v/>
      </c>
      <c r="W154" s="14">
        <f>IF($AE154="","",IFERROR(INDEX(Players!$P$2:$P$301,$AE154),""))</f>
        <v/>
      </c>
      <c r="X154" s="14">
        <f>IF($AE154="","",IFERROR(INDEX(Players!$Q$2:$Q$301,$AE154),""))</f>
        <v/>
      </c>
      <c r="Y154" s="14">
        <f>IF($AE154="","",IFERROR(INDEX(Players!$R$2:$R$301,$AE154),""))</f>
        <v/>
      </c>
      <c r="AE154">
        <f>IFERROR(MATCH(LARGE(Players!$V$2:$V$301,150),Players!$V$2:$V$301,0),"")</f>
        <v/>
      </c>
    </row>
    <row r="155">
      <c r="A155" s="9" t="inlineStr">
        <is>
          <t>13.07</t>
        </is>
      </c>
      <c r="B155" s="18" t="inlineStr">
        <is>
          <t>Team 7</t>
        </is>
      </c>
      <c r="C155" s="19" t="n"/>
      <c r="E155" s="9" t="n">
        <v>151</v>
      </c>
      <c r="F155">
        <f>IF($AE155="","",IFERROR(INDEX(Players!$B$2:$B$301,$AE155),""))</f>
        <v/>
      </c>
      <c r="G155">
        <f>IF($AE155="","",IFERROR(INDEX(Players!$D$2:$D$301,$AE155),""))</f>
        <v/>
      </c>
      <c r="H155">
        <f>IF($AE155="","",IFERROR(INDEX(Players!$C$2:$C$301,$AE155),""))</f>
        <v/>
      </c>
      <c r="I155" s="12">
        <f>IF($AE155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-151+0.5)/3.5))))</f>
        <v/>
      </c>
      <c r="J155" s="12">
        <f>IF($AE155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-151+0.5)/3.5))))</f>
        <v/>
      </c>
      <c r="K155" s="13">
        <f>IF($AE155="","",IFERROR(INDEX(Players!$U$2:$U$301,$AE155),""))</f>
        <v/>
      </c>
      <c r="L155" s="13">
        <f>IF($AE155="","",IFERROR(INDEX(Players!$X$2:$X$301,$AE155),""))</f>
        <v/>
      </c>
      <c r="M155" s="14">
        <f>IF($AE155="","",IFERROR(INDEX(Players!$K$2:$K$301,$AE155),""))</f>
        <v/>
      </c>
      <c r="N155" s="14">
        <f>IF($AE155="","",IFERROR(INDEX(Players!$H$2:$H$301,$AE155),""))</f>
        <v/>
      </c>
      <c r="O155" s="15">
        <f>IF($AE155="","",IFERROR(INDEX(Players!$G$2:$G$301,$AE155),""))</f>
        <v/>
      </c>
      <c r="P155" s="14">
        <f>IF($AE155="","",IFERROR(INDEX(Players!$I$2:$I$301,$AE155),""))</f>
        <v/>
      </c>
      <c r="Q155" s="14">
        <f>IF($AE155="","",IFERROR(INDEX(Players!$F$2:$F$301,$AE155),""))</f>
        <v/>
      </c>
      <c r="R155" s="14">
        <f>IF($AE155="","",IFERROR(INDEX(Players!$J$2:$J$301,$AE155),""))</f>
        <v/>
      </c>
      <c r="S155" s="15">
        <f>IF($AE155="","",IFERROR(INDEX(Players!$L$2:$L$301,$AE155),""))</f>
        <v/>
      </c>
      <c r="T155" s="14">
        <f>IF($AE155="","",IFERROR(INDEX(Players!$M$2:$M$301,$AE155),""))</f>
        <v/>
      </c>
      <c r="U155" s="14">
        <f>IF($AE155="","",IFERROR(INDEX(Players!$N$2:$N$301,$AE155),""))</f>
        <v/>
      </c>
      <c r="V155" s="14">
        <f>IF($AE155="","",IFERROR(INDEX(Players!$O$2:$O$301,$AE155),""))</f>
        <v/>
      </c>
      <c r="W155" s="14">
        <f>IF($AE155="","",IFERROR(INDEX(Players!$P$2:$P$301,$AE155),""))</f>
        <v/>
      </c>
      <c r="X155" s="14">
        <f>IF($AE155="","",IFERROR(INDEX(Players!$Q$2:$Q$301,$AE155),""))</f>
        <v/>
      </c>
      <c r="Y155" s="14">
        <f>IF($AE155="","",IFERROR(INDEX(Players!$R$2:$R$301,$AE155),""))</f>
        <v/>
      </c>
      <c r="AE155">
        <f>IFERROR(MATCH(LARGE(Players!$V$2:$V$301,151),Players!$V$2:$V$301,0),"")</f>
        <v/>
      </c>
    </row>
    <row r="156">
      <c r="A156" s="9" t="inlineStr">
        <is>
          <t>13.08</t>
        </is>
      </c>
      <c r="B156" s="18" t="inlineStr">
        <is>
          <t>Team 8</t>
        </is>
      </c>
      <c r="C156" s="19" t="n"/>
      <c r="E156" s="9" t="n">
        <v>152</v>
      </c>
      <c r="F156">
        <f>IF($AE156="","",IFERROR(INDEX(Players!$B$2:$B$301,$AE156),""))</f>
        <v/>
      </c>
      <c r="G156">
        <f>IF($AE156="","",IFERROR(INDEX(Players!$D$2:$D$301,$AE156),""))</f>
        <v/>
      </c>
      <c r="H156">
        <f>IF($AE156="","",IFERROR(INDEX(Players!$C$2:$C$301,$AE156),""))</f>
        <v/>
      </c>
      <c r="I156" s="12">
        <f>IF($AE156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-152+0.5)/3.5))))</f>
        <v/>
      </c>
      <c r="J156" s="12">
        <f>IF($AE156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-152+0.5)/3.5))))</f>
        <v/>
      </c>
      <c r="K156" s="13">
        <f>IF($AE156="","",IFERROR(INDEX(Players!$U$2:$U$301,$AE156),""))</f>
        <v/>
      </c>
      <c r="L156" s="13">
        <f>IF($AE156="","",IFERROR(INDEX(Players!$X$2:$X$301,$AE156),""))</f>
        <v/>
      </c>
      <c r="M156" s="14">
        <f>IF($AE156="","",IFERROR(INDEX(Players!$K$2:$K$301,$AE156),""))</f>
        <v/>
      </c>
      <c r="N156" s="14">
        <f>IF($AE156="","",IFERROR(INDEX(Players!$H$2:$H$301,$AE156),""))</f>
        <v/>
      </c>
      <c r="O156" s="15">
        <f>IF($AE156="","",IFERROR(INDEX(Players!$G$2:$G$301,$AE156),""))</f>
        <v/>
      </c>
      <c r="P156" s="14">
        <f>IF($AE156="","",IFERROR(INDEX(Players!$I$2:$I$301,$AE156),""))</f>
        <v/>
      </c>
      <c r="Q156" s="14">
        <f>IF($AE156="","",IFERROR(INDEX(Players!$F$2:$F$301,$AE156),""))</f>
        <v/>
      </c>
      <c r="R156" s="14">
        <f>IF($AE156="","",IFERROR(INDEX(Players!$J$2:$J$301,$AE156),""))</f>
        <v/>
      </c>
      <c r="S156" s="15">
        <f>IF($AE156="","",IFERROR(INDEX(Players!$L$2:$L$301,$AE156),""))</f>
        <v/>
      </c>
      <c r="T156" s="14">
        <f>IF($AE156="","",IFERROR(INDEX(Players!$M$2:$M$301,$AE156),""))</f>
        <v/>
      </c>
      <c r="U156" s="14">
        <f>IF($AE156="","",IFERROR(INDEX(Players!$N$2:$N$301,$AE156),""))</f>
        <v/>
      </c>
      <c r="V156" s="14">
        <f>IF($AE156="","",IFERROR(INDEX(Players!$O$2:$O$301,$AE156),""))</f>
        <v/>
      </c>
      <c r="W156" s="14">
        <f>IF($AE156="","",IFERROR(INDEX(Players!$P$2:$P$301,$AE156),""))</f>
        <v/>
      </c>
      <c r="X156" s="14">
        <f>IF($AE156="","",IFERROR(INDEX(Players!$Q$2:$Q$301,$AE156),""))</f>
        <v/>
      </c>
      <c r="Y156" s="14">
        <f>IF($AE156="","",IFERROR(INDEX(Players!$R$2:$R$301,$AE156),""))</f>
        <v/>
      </c>
      <c r="AE156">
        <f>IFERROR(MATCH(LARGE(Players!$V$2:$V$301,152),Players!$V$2:$V$301,0),"")</f>
        <v/>
      </c>
    </row>
    <row r="157">
      <c r="A157" s="9" t="inlineStr">
        <is>
          <t>13.09</t>
        </is>
      </c>
      <c r="B157" s="18" t="inlineStr">
        <is>
          <t>Team 9</t>
        </is>
      </c>
      <c r="C157" s="19" t="n"/>
      <c r="E157" s="9" t="n">
        <v>153</v>
      </c>
      <c r="F157">
        <f>IF($AE157="","",IFERROR(INDEX(Players!$B$2:$B$301,$AE157),""))</f>
        <v/>
      </c>
      <c r="G157">
        <f>IF($AE157="","",IFERROR(INDEX(Players!$D$2:$D$301,$AE157),""))</f>
        <v/>
      </c>
      <c r="H157">
        <f>IF($AE157="","",IFERROR(INDEX(Players!$C$2:$C$301,$AE157),""))</f>
        <v/>
      </c>
      <c r="I157" s="12">
        <f>IF($AE157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-153+0.5)/3.5))))</f>
        <v/>
      </c>
      <c r="J157" s="12">
        <f>IF($AE157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-153+0.5)/3.5))))</f>
        <v/>
      </c>
      <c r="K157" s="13">
        <f>IF($AE157="","",IFERROR(INDEX(Players!$U$2:$U$301,$AE157),""))</f>
        <v/>
      </c>
      <c r="L157" s="13">
        <f>IF($AE157="","",IFERROR(INDEX(Players!$X$2:$X$301,$AE157),""))</f>
        <v/>
      </c>
      <c r="M157" s="14">
        <f>IF($AE157="","",IFERROR(INDEX(Players!$K$2:$K$301,$AE157),""))</f>
        <v/>
      </c>
      <c r="N157" s="14">
        <f>IF($AE157="","",IFERROR(INDEX(Players!$H$2:$H$301,$AE157),""))</f>
        <v/>
      </c>
      <c r="O157" s="15">
        <f>IF($AE157="","",IFERROR(INDEX(Players!$G$2:$G$301,$AE157),""))</f>
        <v/>
      </c>
      <c r="P157" s="14">
        <f>IF($AE157="","",IFERROR(INDEX(Players!$I$2:$I$301,$AE157),""))</f>
        <v/>
      </c>
      <c r="Q157" s="14">
        <f>IF($AE157="","",IFERROR(INDEX(Players!$F$2:$F$301,$AE157),""))</f>
        <v/>
      </c>
      <c r="R157" s="14">
        <f>IF($AE157="","",IFERROR(INDEX(Players!$J$2:$J$301,$AE157),""))</f>
        <v/>
      </c>
      <c r="S157" s="15">
        <f>IF($AE157="","",IFERROR(INDEX(Players!$L$2:$L$301,$AE157),""))</f>
        <v/>
      </c>
      <c r="T157" s="14">
        <f>IF($AE157="","",IFERROR(INDEX(Players!$M$2:$M$301,$AE157),""))</f>
        <v/>
      </c>
      <c r="U157" s="14">
        <f>IF($AE157="","",IFERROR(INDEX(Players!$N$2:$N$301,$AE157),""))</f>
        <v/>
      </c>
      <c r="V157" s="14">
        <f>IF($AE157="","",IFERROR(INDEX(Players!$O$2:$O$301,$AE157),""))</f>
        <v/>
      </c>
      <c r="W157" s="14">
        <f>IF($AE157="","",IFERROR(INDEX(Players!$P$2:$P$301,$AE157),""))</f>
        <v/>
      </c>
      <c r="X157" s="14">
        <f>IF($AE157="","",IFERROR(INDEX(Players!$Q$2:$Q$301,$AE157),""))</f>
        <v/>
      </c>
      <c r="Y157" s="14">
        <f>IF($AE157="","",IFERROR(INDEX(Players!$R$2:$R$301,$AE157),""))</f>
        <v/>
      </c>
      <c r="AE157">
        <f>IFERROR(MATCH(LARGE(Players!$V$2:$V$301,153),Players!$V$2:$V$301,0),"")</f>
        <v/>
      </c>
    </row>
    <row r="158">
      <c r="A158" s="9" t="inlineStr">
        <is>
          <t>13.10</t>
        </is>
      </c>
      <c r="B158" s="18" t="inlineStr">
        <is>
          <t>Team 10</t>
        </is>
      </c>
      <c r="C158" s="19" t="n"/>
      <c r="E158" s="9" t="n">
        <v>154</v>
      </c>
      <c r="F158">
        <f>IF($AE158="","",IFERROR(INDEX(Players!$B$2:$B$301,$AE158),""))</f>
        <v/>
      </c>
      <c r="G158">
        <f>IF($AE158="","",IFERROR(INDEX(Players!$D$2:$D$301,$AE158),""))</f>
        <v/>
      </c>
      <c r="H158">
        <f>IF($AE158="","",IFERROR(INDEX(Players!$C$2:$C$301,$AE158),""))</f>
        <v/>
      </c>
      <c r="I158" s="12">
        <f>IF($AE158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-154+0.5)/3.5))))</f>
        <v/>
      </c>
      <c r="J158" s="12">
        <f>IF($AE158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-154+0.5)/3.5))))</f>
        <v/>
      </c>
      <c r="K158" s="13">
        <f>IF($AE158="","",IFERROR(INDEX(Players!$U$2:$U$301,$AE158),""))</f>
        <v/>
      </c>
      <c r="L158" s="13">
        <f>IF($AE158="","",IFERROR(INDEX(Players!$X$2:$X$301,$AE158),""))</f>
        <v/>
      </c>
      <c r="M158" s="14">
        <f>IF($AE158="","",IFERROR(INDEX(Players!$K$2:$K$301,$AE158),""))</f>
        <v/>
      </c>
      <c r="N158" s="14">
        <f>IF($AE158="","",IFERROR(INDEX(Players!$H$2:$H$301,$AE158),""))</f>
        <v/>
      </c>
      <c r="O158" s="15">
        <f>IF($AE158="","",IFERROR(INDEX(Players!$G$2:$G$301,$AE158),""))</f>
        <v/>
      </c>
      <c r="P158" s="14">
        <f>IF($AE158="","",IFERROR(INDEX(Players!$I$2:$I$301,$AE158),""))</f>
        <v/>
      </c>
      <c r="Q158" s="14">
        <f>IF($AE158="","",IFERROR(INDEX(Players!$F$2:$F$301,$AE158),""))</f>
        <v/>
      </c>
      <c r="R158" s="14">
        <f>IF($AE158="","",IFERROR(INDEX(Players!$J$2:$J$301,$AE158),""))</f>
        <v/>
      </c>
      <c r="S158" s="15">
        <f>IF($AE158="","",IFERROR(INDEX(Players!$L$2:$L$301,$AE158),""))</f>
        <v/>
      </c>
      <c r="T158" s="14">
        <f>IF($AE158="","",IFERROR(INDEX(Players!$M$2:$M$301,$AE158),""))</f>
        <v/>
      </c>
      <c r="U158" s="14">
        <f>IF($AE158="","",IFERROR(INDEX(Players!$N$2:$N$301,$AE158),""))</f>
        <v/>
      </c>
      <c r="V158" s="14">
        <f>IF($AE158="","",IFERROR(INDEX(Players!$O$2:$O$301,$AE158),""))</f>
        <v/>
      </c>
      <c r="W158" s="14">
        <f>IF($AE158="","",IFERROR(INDEX(Players!$P$2:$P$301,$AE158),""))</f>
        <v/>
      </c>
      <c r="X158" s="14">
        <f>IF($AE158="","",IFERROR(INDEX(Players!$Q$2:$Q$301,$AE158),""))</f>
        <v/>
      </c>
      <c r="Y158" s="14">
        <f>IF($AE158="","",IFERROR(INDEX(Players!$R$2:$R$301,$AE158),""))</f>
        <v/>
      </c>
      <c r="AE158">
        <f>IFERROR(MATCH(LARGE(Players!$V$2:$V$301,154),Players!$V$2:$V$301,0),"")</f>
        <v/>
      </c>
    </row>
    <row r="159">
      <c r="A159" s="9" t="inlineStr">
        <is>
          <t>13.11</t>
        </is>
      </c>
      <c r="B159" s="18" t="inlineStr">
        <is>
          <t>Team 11</t>
        </is>
      </c>
      <c r="C159" s="19" t="n"/>
      <c r="E159" s="9" t="n">
        <v>155</v>
      </c>
      <c r="F159">
        <f>IF($AE159="","",IFERROR(INDEX(Players!$B$2:$B$301,$AE159),""))</f>
        <v/>
      </c>
      <c r="G159">
        <f>IF($AE159="","",IFERROR(INDEX(Players!$D$2:$D$301,$AE159),""))</f>
        <v/>
      </c>
      <c r="H159">
        <f>IF($AE159="","",IFERROR(INDEX(Players!$C$2:$C$301,$AE159),""))</f>
        <v/>
      </c>
      <c r="I159" s="12">
        <f>IF($AE159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-155+0.5)/3.5))))</f>
        <v/>
      </c>
      <c r="J159" s="12">
        <f>IF($AE159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-155+0.5)/3.5))))</f>
        <v/>
      </c>
      <c r="K159" s="13">
        <f>IF($AE159="","",IFERROR(INDEX(Players!$U$2:$U$301,$AE159),""))</f>
        <v/>
      </c>
      <c r="L159" s="13">
        <f>IF($AE159="","",IFERROR(INDEX(Players!$X$2:$X$301,$AE159),""))</f>
        <v/>
      </c>
      <c r="M159" s="14">
        <f>IF($AE159="","",IFERROR(INDEX(Players!$K$2:$K$301,$AE159),""))</f>
        <v/>
      </c>
      <c r="N159" s="14">
        <f>IF($AE159="","",IFERROR(INDEX(Players!$H$2:$H$301,$AE159),""))</f>
        <v/>
      </c>
      <c r="O159" s="15">
        <f>IF($AE159="","",IFERROR(INDEX(Players!$G$2:$G$301,$AE159),""))</f>
        <v/>
      </c>
      <c r="P159" s="14">
        <f>IF($AE159="","",IFERROR(INDEX(Players!$I$2:$I$301,$AE159),""))</f>
        <v/>
      </c>
      <c r="Q159" s="14">
        <f>IF($AE159="","",IFERROR(INDEX(Players!$F$2:$F$301,$AE159),""))</f>
        <v/>
      </c>
      <c r="R159" s="14">
        <f>IF($AE159="","",IFERROR(INDEX(Players!$J$2:$J$301,$AE159),""))</f>
        <v/>
      </c>
      <c r="S159" s="15">
        <f>IF($AE159="","",IFERROR(INDEX(Players!$L$2:$L$301,$AE159),""))</f>
        <v/>
      </c>
      <c r="T159" s="14">
        <f>IF($AE159="","",IFERROR(INDEX(Players!$M$2:$M$301,$AE159),""))</f>
        <v/>
      </c>
      <c r="U159" s="14">
        <f>IF($AE159="","",IFERROR(INDEX(Players!$N$2:$N$301,$AE159),""))</f>
        <v/>
      </c>
      <c r="V159" s="14">
        <f>IF($AE159="","",IFERROR(INDEX(Players!$O$2:$O$301,$AE159),""))</f>
        <v/>
      </c>
      <c r="W159" s="14">
        <f>IF($AE159="","",IFERROR(INDEX(Players!$P$2:$P$301,$AE159),""))</f>
        <v/>
      </c>
      <c r="X159" s="14">
        <f>IF($AE159="","",IFERROR(INDEX(Players!$Q$2:$Q$301,$AE159),""))</f>
        <v/>
      </c>
      <c r="Y159" s="14">
        <f>IF($AE159="","",IFERROR(INDEX(Players!$R$2:$R$301,$AE159),""))</f>
        <v/>
      </c>
      <c r="AE159">
        <f>IFERROR(MATCH(LARGE(Players!$V$2:$V$301,155),Players!$V$2:$V$301,0),"")</f>
        <v/>
      </c>
    </row>
    <row r="160">
      <c r="A160" s="9" t="inlineStr">
        <is>
          <t>13.12</t>
        </is>
      </c>
      <c r="B160" s="18" t="inlineStr">
        <is>
          <t>Team 12</t>
        </is>
      </c>
      <c r="C160" s="19" t="n"/>
      <c r="E160" s="9" t="n">
        <v>156</v>
      </c>
      <c r="F160">
        <f>IF($AE160="","",IFERROR(INDEX(Players!$B$2:$B$301,$AE160),""))</f>
        <v/>
      </c>
      <c r="G160">
        <f>IF($AE160="","",IFERROR(INDEX(Players!$D$2:$D$301,$AE160),""))</f>
        <v/>
      </c>
      <c r="H160">
        <f>IF($AE160="","",IFERROR(INDEX(Players!$C$2:$C$301,$AE160),""))</f>
        <v/>
      </c>
      <c r="I160" s="12">
        <f>IF($AE160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-156+0.5)/3.5))))</f>
        <v/>
      </c>
      <c r="J160" s="12">
        <f>IF($AE160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-156+0.5)/3.5))))</f>
        <v/>
      </c>
      <c r="K160" s="13">
        <f>IF($AE160="","",IFERROR(INDEX(Players!$U$2:$U$301,$AE160),""))</f>
        <v/>
      </c>
      <c r="L160" s="13">
        <f>IF($AE160="","",IFERROR(INDEX(Players!$X$2:$X$301,$AE160),""))</f>
        <v/>
      </c>
      <c r="M160" s="14">
        <f>IF($AE160="","",IFERROR(INDEX(Players!$K$2:$K$301,$AE160),""))</f>
        <v/>
      </c>
      <c r="N160" s="14">
        <f>IF($AE160="","",IFERROR(INDEX(Players!$H$2:$H$301,$AE160),""))</f>
        <v/>
      </c>
      <c r="O160" s="15">
        <f>IF($AE160="","",IFERROR(INDEX(Players!$G$2:$G$301,$AE160),""))</f>
        <v/>
      </c>
      <c r="P160" s="14">
        <f>IF($AE160="","",IFERROR(INDEX(Players!$I$2:$I$301,$AE160),""))</f>
        <v/>
      </c>
      <c r="Q160" s="14">
        <f>IF($AE160="","",IFERROR(INDEX(Players!$F$2:$F$301,$AE160),""))</f>
        <v/>
      </c>
      <c r="R160" s="14">
        <f>IF($AE160="","",IFERROR(INDEX(Players!$J$2:$J$301,$AE160),""))</f>
        <v/>
      </c>
      <c r="S160" s="15">
        <f>IF($AE160="","",IFERROR(INDEX(Players!$L$2:$L$301,$AE160),""))</f>
        <v/>
      </c>
      <c r="T160" s="14">
        <f>IF($AE160="","",IFERROR(INDEX(Players!$M$2:$M$301,$AE160),""))</f>
        <v/>
      </c>
      <c r="U160" s="14">
        <f>IF($AE160="","",IFERROR(INDEX(Players!$N$2:$N$301,$AE160),""))</f>
        <v/>
      </c>
      <c r="V160" s="14">
        <f>IF($AE160="","",IFERROR(INDEX(Players!$O$2:$O$301,$AE160),""))</f>
        <v/>
      </c>
      <c r="W160" s="14">
        <f>IF($AE160="","",IFERROR(INDEX(Players!$P$2:$P$301,$AE160),""))</f>
        <v/>
      </c>
      <c r="X160" s="14">
        <f>IF($AE160="","",IFERROR(INDEX(Players!$Q$2:$Q$301,$AE160),""))</f>
        <v/>
      </c>
      <c r="Y160" s="14">
        <f>IF($AE160="","",IFERROR(INDEX(Players!$R$2:$R$301,$AE160),""))</f>
        <v/>
      </c>
      <c r="AE160">
        <f>IFERROR(MATCH(LARGE(Players!$V$2:$V$301,156),Players!$V$2:$V$301,0),"")</f>
        <v/>
      </c>
    </row>
    <row r="161">
      <c r="A161" s="9" t="inlineStr">
        <is>
          <t>14.01</t>
        </is>
      </c>
      <c r="B161" s="18" t="inlineStr">
        <is>
          <t>Team 12</t>
        </is>
      </c>
      <c r="C161" s="19" t="n"/>
      <c r="E161" s="9" t="n">
        <v>157</v>
      </c>
      <c r="F161">
        <f>IF($AE161="","",IFERROR(INDEX(Players!$B$2:$B$301,$AE161),""))</f>
        <v/>
      </c>
      <c r="G161">
        <f>IF($AE161="","",IFERROR(INDEX(Players!$D$2:$D$301,$AE161),""))</f>
        <v/>
      </c>
      <c r="H161">
        <f>IF($AE161="","",IFERROR(INDEX(Players!$C$2:$C$301,$AE161),""))</f>
        <v/>
      </c>
      <c r="I161" s="12">
        <f>IF($AE161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-157+0.5)/3.5))))</f>
        <v/>
      </c>
      <c r="J161" s="12">
        <f>IF($AE161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-157+0.5)/3.5))))</f>
        <v/>
      </c>
      <c r="K161" s="13">
        <f>IF($AE161="","",IFERROR(INDEX(Players!$U$2:$U$301,$AE161),""))</f>
        <v/>
      </c>
      <c r="L161" s="13">
        <f>IF($AE161="","",IFERROR(INDEX(Players!$X$2:$X$301,$AE161),""))</f>
        <v/>
      </c>
      <c r="M161" s="14">
        <f>IF($AE161="","",IFERROR(INDEX(Players!$K$2:$K$301,$AE161),""))</f>
        <v/>
      </c>
      <c r="N161" s="14">
        <f>IF($AE161="","",IFERROR(INDEX(Players!$H$2:$H$301,$AE161),""))</f>
        <v/>
      </c>
      <c r="O161" s="15">
        <f>IF($AE161="","",IFERROR(INDEX(Players!$G$2:$G$301,$AE161),""))</f>
        <v/>
      </c>
      <c r="P161" s="14">
        <f>IF($AE161="","",IFERROR(INDEX(Players!$I$2:$I$301,$AE161),""))</f>
        <v/>
      </c>
      <c r="Q161" s="14">
        <f>IF($AE161="","",IFERROR(INDEX(Players!$F$2:$F$301,$AE161),""))</f>
        <v/>
      </c>
      <c r="R161" s="14">
        <f>IF($AE161="","",IFERROR(INDEX(Players!$J$2:$J$301,$AE161),""))</f>
        <v/>
      </c>
      <c r="S161" s="15">
        <f>IF($AE161="","",IFERROR(INDEX(Players!$L$2:$L$301,$AE161),""))</f>
        <v/>
      </c>
      <c r="T161" s="14">
        <f>IF($AE161="","",IFERROR(INDEX(Players!$M$2:$M$301,$AE161),""))</f>
        <v/>
      </c>
      <c r="U161" s="14">
        <f>IF($AE161="","",IFERROR(INDEX(Players!$N$2:$N$301,$AE161),""))</f>
        <v/>
      </c>
      <c r="V161" s="14">
        <f>IF($AE161="","",IFERROR(INDEX(Players!$O$2:$O$301,$AE161),""))</f>
        <v/>
      </c>
      <c r="W161" s="14">
        <f>IF($AE161="","",IFERROR(INDEX(Players!$P$2:$P$301,$AE161),""))</f>
        <v/>
      </c>
      <c r="X161" s="14">
        <f>IF($AE161="","",IFERROR(INDEX(Players!$Q$2:$Q$301,$AE161),""))</f>
        <v/>
      </c>
      <c r="Y161" s="14">
        <f>IF($AE161="","",IFERROR(INDEX(Players!$R$2:$R$301,$AE161),""))</f>
        <v/>
      </c>
      <c r="AE161">
        <f>IFERROR(MATCH(LARGE(Players!$V$2:$V$301,157),Players!$V$2:$V$301,0),"")</f>
        <v/>
      </c>
    </row>
    <row r="162">
      <c r="A162" s="9" t="inlineStr">
        <is>
          <t>14.02</t>
        </is>
      </c>
      <c r="B162" s="18" t="inlineStr">
        <is>
          <t>Team 11</t>
        </is>
      </c>
      <c r="C162" s="19" t="n"/>
      <c r="E162" s="9" t="n">
        <v>158</v>
      </c>
      <c r="F162">
        <f>IF($AE162="","",IFERROR(INDEX(Players!$B$2:$B$301,$AE162),""))</f>
        <v/>
      </c>
      <c r="G162">
        <f>IF($AE162="","",IFERROR(INDEX(Players!$D$2:$D$301,$AE162),""))</f>
        <v/>
      </c>
      <c r="H162">
        <f>IF($AE162="","",IFERROR(INDEX(Players!$C$2:$C$301,$AE162),""))</f>
        <v/>
      </c>
      <c r="I162" s="12">
        <f>IF($AE162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-158+0.5)/3.5))))</f>
        <v/>
      </c>
      <c r="J162" s="12">
        <f>IF($AE162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-158+0.5)/3.5))))</f>
        <v/>
      </c>
      <c r="K162" s="13">
        <f>IF($AE162="","",IFERROR(INDEX(Players!$U$2:$U$301,$AE162),""))</f>
        <v/>
      </c>
      <c r="L162" s="13">
        <f>IF($AE162="","",IFERROR(INDEX(Players!$X$2:$X$301,$AE162),""))</f>
        <v/>
      </c>
      <c r="M162" s="14">
        <f>IF($AE162="","",IFERROR(INDEX(Players!$K$2:$K$301,$AE162),""))</f>
        <v/>
      </c>
      <c r="N162" s="14">
        <f>IF($AE162="","",IFERROR(INDEX(Players!$H$2:$H$301,$AE162),""))</f>
        <v/>
      </c>
      <c r="O162" s="15">
        <f>IF($AE162="","",IFERROR(INDEX(Players!$G$2:$G$301,$AE162),""))</f>
        <v/>
      </c>
      <c r="P162" s="14">
        <f>IF($AE162="","",IFERROR(INDEX(Players!$I$2:$I$301,$AE162),""))</f>
        <v/>
      </c>
      <c r="Q162" s="14">
        <f>IF($AE162="","",IFERROR(INDEX(Players!$F$2:$F$301,$AE162),""))</f>
        <v/>
      </c>
      <c r="R162" s="14">
        <f>IF($AE162="","",IFERROR(INDEX(Players!$J$2:$J$301,$AE162),""))</f>
        <v/>
      </c>
      <c r="S162" s="15">
        <f>IF($AE162="","",IFERROR(INDEX(Players!$L$2:$L$301,$AE162),""))</f>
        <v/>
      </c>
      <c r="T162" s="14">
        <f>IF($AE162="","",IFERROR(INDEX(Players!$M$2:$M$301,$AE162),""))</f>
        <v/>
      </c>
      <c r="U162" s="14">
        <f>IF($AE162="","",IFERROR(INDEX(Players!$N$2:$N$301,$AE162),""))</f>
        <v/>
      </c>
      <c r="V162" s="14">
        <f>IF($AE162="","",IFERROR(INDEX(Players!$O$2:$O$301,$AE162),""))</f>
        <v/>
      </c>
      <c r="W162" s="14">
        <f>IF($AE162="","",IFERROR(INDEX(Players!$P$2:$P$301,$AE162),""))</f>
        <v/>
      </c>
      <c r="X162" s="14">
        <f>IF($AE162="","",IFERROR(INDEX(Players!$Q$2:$Q$301,$AE162),""))</f>
        <v/>
      </c>
      <c r="Y162" s="14">
        <f>IF($AE162="","",IFERROR(INDEX(Players!$R$2:$R$301,$AE162),""))</f>
        <v/>
      </c>
      <c r="AE162">
        <f>IFERROR(MATCH(LARGE(Players!$V$2:$V$301,158),Players!$V$2:$V$301,0),"")</f>
        <v/>
      </c>
    </row>
    <row r="163">
      <c r="A163" s="9" t="inlineStr">
        <is>
          <t>14.03</t>
        </is>
      </c>
      <c r="B163" s="18" t="inlineStr">
        <is>
          <t>Team 10</t>
        </is>
      </c>
      <c r="C163" s="19" t="n"/>
      <c r="E163" s="9" t="n">
        <v>159</v>
      </c>
      <c r="F163">
        <f>IF($AE163="","",IFERROR(INDEX(Players!$B$2:$B$301,$AE163),""))</f>
        <v/>
      </c>
      <c r="G163">
        <f>IF($AE163="","",IFERROR(INDEX(Players!$D$2:$D$301,$AE163),""))</f>
        <v/>
      </c>
      <c r="H163">
        <f>IF($AE163="","",IFERROR(INDEX(Players!$C$2:$C$301,$AE163),""))</f>
        <v/>
      </c>
      <c r="I163" s="12">
        <f>IF($AE163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-159+0.5)/3.5))))</f>
        <v/>
      </c>
      <c r="J163" s="12">
        <f>IF($AE163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-159+0.5)/3.5))))</f>
        <v/>
      </c>
      <c r="K163" s="13">
        <f>IF($AE163="","",IFERROR(INDEX(Players!$U$2:$U$301,$AE163),""))</f>
        <v/>
      </c>
      <c r="L163" s="13">
        <f>IF($AE163="","",IFERROR(INDEX(Players!$X$2:$X$301,$AE163),""))</f>
        <v/>
      </c>
      <c r="M163" s="14">
        <f>IF($AE163="","",IFERROR(INDEX(Players!$K$2:$K$301,$AE163),""))</f>
        <v/>
      </c>
      <c r="N163" s="14">
        <f>IF($AE163="","",IFERROR(INDEX(Players!$H$2:$H$301,$AE163),""))</f>
        <v/>
      </c>
      <c r="O163" s="15">
        <f>IF($AE163="","",IFERROR(INDEX(Players!$G$2:$G$301,$AE163),""))</f>
        <v/>
      </c>
      <c r="P163" s="14">
        <f>IF($AE163="","",IFERROR(INDEX(Players!$I$2:$I$301,$AE163),""))</f>
        <v/>
      </c>
      <c r="Q163" s="14">
        <f>IF($AE163="","",IFERROR(INDEX(Players!$F$2:$F$301,$AE163),""))</f>
        <v/>
      </c>
      <c r="R163" s="14">
        <f>IF($AE163="","",IFERROR(INDEX(Players!$J$2:$J$301,$AE163),""))</f>
        <v/>
      </c>
      <c r="S163" s="15">
        <f>IF($AE163="","",IFERROR(INDEX(Players!$L$2:$L$301,$AE163),""))</f>
        <v/>
      </c>
      <c r="T163" s="14">
        <f>IF($AE163="","",IFERROR(INDEX(Players!$M$2:$M$301,$AE163),""))</f>
        <v/>
      </c>
      <c r="U163" s="14">
        <f>IF($AE163="","",IFERROR(INDEX(Players!$N$2:$N$301,$AE163),""))</f>
        <v/>
      </c>
      <c r="V163" s="14">
        <f>IF($AE163="","",IFERROR(INDEX(Players!$O$2:$O$301,$AE163),""))</f>
        <v/>
      </c>
      <c r="W163" s="14">
        <f>IF($AE163="","",IFERROR(INDEX(Players!$P$2:$P$301,$AE163),""))</f>
        <v/>
      </c>
      <c r="X163" s="14">
        <f>IF($AE163="","",IFERROR(INDEX(Players!$Q$2:$Q$301,$AE163),""))</f>
        <v/>
      </c>
      <c r="Y163" s="14">
        <f>IF($AE163="","",IFERROR(INDEX(Players!$R$2:$R$301,$AE163),""))</f>
        <v/>
      </c>
      <c r="AE163">
        <f>IFERROR(MATCH(LARGE(Players!$V$2:$V$301,159),Players!$V$2:$V$301,0),"")</f>
        <v/>
      </c>
    </row>
    <row r="164">
      <c r="A164" s="9" t="inlineStr">
        <is>
          <t>14.04</t>
        </is>
      </c>
      <c r="B164" s="18" t="inlineStr">
        <is>
          <t>Team 9</t>
        </is>
      </c>
      <c r="C164" s="19" t="n"/>
      <c r="E164" s="9" t="n">
        <v>160</v>
      </c>
      <c r="F164">
        <f>IF($AE164="","",IFERROR(INDEX(Players!$B$2:$B$301,$AE164),""))</f>
        <v/>
      </c>
      <c r="G164">
        <f>IF($AE164="","",IFERROR(INDEX(Players!$D$2:$D$301,$AE164),""))</f>
        <v/>
      </c>
      <c r="H164">
        <f>IF($AE164="","",IFERROR(INDEX(Players!$C$2:$C$301,$AE164),""))</f>
        <v/>
      </c>
      <c r="I164" s="12">
        <f>IF($AE164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-160+0.5)/3.5))))</f>
        <v/>
      </c>
      <c r="J164" s="12">
        <f>IF($AE164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-160+0.5)/3.5))))</f>
        <v/>
      </c>
      <c r="K164" s="13">
        <f>IF($AE164="","",IFERROR(INDEX(Players!$U$2:$U$301,$AE164),""))</f>
        <v/>
      </c>
      <c r="L164" s="13">
        <f>IF($AE164="","",IFERROR(INDEX(Players!$X$2:$X$301,$AE164),""))</f>
        <v/>
      </c>
      <c r="M164" s="14">
        <f>IF($AE164="","",IFERROR(INDEX(Players!$K$2:$K$301,$AE164),""))</f>
        <v/>
      </c>
      <c r="N164" s="14">
        <f>IF($AE164="","",IFERROR(INDEX(Players!$H$2:$H$301,$AE164),""))</f>
        <v/>
      </c>
      <c r="O164" s="15">
        <f>IF($AE164="","",IFERROR(INDEX(Players!$G$2:$G$301,$AE164),""))</f>
        <v/>
      </c>
      <c r="P164" s="14">
        <f>IF($AE164="","",IFERROR(INDEX(Players!$I$2:$I$301,$AE164),""))</f>
        <v/>
      </c>
      <c r="Q164" s="14">
        <f>IF($AE164="","",IFERROR(INDEX(Players!$F$2:$F$301,$AE164),""))</f>
        <v/>
      </c>
      <c r="R164" s="14">
        <f>IF($AE164="","",IFERROR(INDEX(Players!$J$2:$J$301,$AE164),""))</f>
        <v/>
      </c>
      <c r="S164" s="15">
        <f>IF($AE164="","",IFERROR(INDEX(Players!$L$2:$L$301,$AE164),""))</f>
        <v/>
      </c>
      <c r="T164" s="14">
        <f>IF($AE164="","",IFERROR(INDEX(Players!$M$2:$M$301,$AE164),""))</f>
        <v/>
      </c>
      <c r="U164" s="14">
        <f>IF($AE164="","",IFERROR(INDEX(Players!$N$2:$N$301,$AE164),""))</f>
        <v/>
      </c>
      <c r="V164" s="14">
        <f>IF($AE164="","",IFERROR(INDEX(Players!$O$2:$O$301,$AE164),""))</f>
        <v/>
      </c>
      <c r="W164" s="14">
        <f>IF($AE164="","",IFERROR(INDEX(Players!$P$2:$P$301,$AE164),""))</f>
        <v/>
      </c>
      <c r="X164" s="14">
        <f>IF($AE164="","",IFERROR(INDEX(Players!$Q$2:$Q$301,$AE164),""))</f>
        <v/>
      </c>
      <c r="Y164" s="14">
        <f>IF($AE164="","",IFERROR(INDEX(Players!$R$2:$R$301,$AE164),""))</f>
        <v/>
      </c>
      <c r="AE164">
        <f>IFERROR(MATCH(LARGE(Players!$V$2:$V$301,160),Players!$V$2:$V$301,0),"")</f>
        <v/>
      </c>
    </row>
    <row r="165">
      <c r="A165" s="9" t="inlineStr">
        <is>
          <t>14.05</t>
        </is>
      </c>
      <c r="B165" s="18" t="inlineStr">
        <is>
          <t>Team 8</t>
        </is>
      </c>
      <c r="C165" s="19" t="n"/>
      <c r="E165" s="9" t="n">
        <v>161</v>
      </c>
      <c r="F165">
        <f>IF($AE165="","",IFERROR(INDEX(Players!$B$2:$B$301,$AE165),""))</f>
        <v/>
      </c>
      <c r="G165">
        <f>IF($AE165="","",IFERROR(INDEX(Players!$D$2:$D$301,$AE165),""))</f>
        <v/>
      </c>
      <c r="H165">
        <f>IF($AE165="","",IFERROR(INDEX(Players!$C$2:$C$301,$AE165),""))</f>
        <v/>
      </c>
      <c r="I165" s="12">
        <f>IF($AE165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-161+0.5)/3.5))))</f>
        <v/>
      </c>
      <c r="J165" s="12">
        <f>IF($AE165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-161+0.5)/3.5))))</f>
        <v/>
      </c>
      <c r="K165" s="13">
        <f>IF($AE165="","",IFERROR(INDEX(Players!$U$2:$U$301,$AE165),""))</f>
        <v/>
      </c>
      <c r="L165" s="13">
        <f>IF($AE165="","",IFERROR(INDEX(Players!$X$2:$X$301,$AE165),""))</f>
        <v/>
      </c>
      <c r="M165" s="14">
        <f>IF($AE165="","",IFERROR(INDEX(Players!$K$2:$K$301,$AE165),""))</f>
        <v/>
      </c>
      <c r="N165" s="14">
        <f>IF($AE165="","",IFERROR(INDEX(Players!$H$2:$H$301,$AE165),""))</f>
        <v/>
      </c>
      <c r="O165" s="15">
        <f>IF($AE165="","",IFERROR(INDEX(Players!$G$2:$G$301,$AE165),""))</f>
        <v/>
      </c>
      <c r="P165" s="14">
        <f>IF($AE165="","",IFERROR(INDEX(Players!$I$2:$I$301,$AE165),""))</f>
        <v/>
      </c>
      <c r="Q165" s="14">
        <f>IF($AE165="","",IFERROR(INDEX(Players!$F$2:$F$301,$AE165),""))</f>
        <v/>
      </c>
      <c r="R165" s="14">
        <f>IF($AE165="","",IFERROR(INDEX(Players!$J$2:$J$301,$AE165),""))</f>
        <v/>
      </c>
      <c r="S165" s="15">
        <f>IF($AE165="","",IFERROR(INDEX(Players!$L$2:$L$301,$AE165),""))</f>
        <v/>
      </c>
      <c r="T165" s="14">
        <f>IF($AE165="","",IFERROR(INDEX(Players!$M$2:$M$301,$AE165),""))</f>
        <v/>
      </c>
      <c r="U165" s="14">
        <f>IF($AE165="","",IFERROR(INDEX(Players!$N$2:$N$301,$AE165),""))</f>
        <v/>
      </c>
      <c r="V165" s="14">
        <f>IF($AE165="","",IFERROR(INDEX(Players!$O$2:$O$301,$AE165),""))</f>
        <v/>
      </c>
      <c r="W165" s="14">
        <f>IF($AE165="","",IFERROR(INDEX(Players!$P$2:$P$301,$AE165),""))</f>
        <v/>
      </c>
      <c r="X165" s="14">
        <f>IF($AE165="","",IFERROR(INDEX(Players!$Q$2:$Q$301,$AE165),""))</f>
        <v/>
      </c>
      <c r="Y165" s="14">
        <f>IF($AE165="","",IFERROR(INDEX(Players!$R$2:$R$301,$AE165),""))</f>
        <v/>
      </c>
      <c r="AE165">
        <f>IFERROR(MATCH(LARGE(Players!$V$2:$V$301,161),Players!$V$2:$V$301,0),"")</f>
        <v/>
      </c>
    </row>
    <row r="166">
      <c r="A166" s="9" t="inlineStr">
        <is>
          <t>14.06</t>
        </is>
      </c>
      <c r="B166" s="18" t="inlineStr">
        <is>
          <t>Team 7</t>
        </is>
      </c>
      <c r="C166" s="19" t="n"/>
      <c r="E166" s="9" t="n">
        <v>162</v>
      </c>
      <c r="F166">
        <f>IF($AE166="","",IFERROR(INDEX(Players!$B$2:$B$301,$AE166),""))</f>
        <v/>
      </c>
      <c r="G166">
        <f>IF($AE166="","",IFERROR(INDEX(Players!$D$2:$D$301,$AE166),""))</f>
        <v/>
      </c>
      <c r="H166">
        <f>IF($AE166="","",IFERROR(INDEX(Players!$C$2:$C$301,$AE166),""))</f>
        <v/>
      </c>
      <c r="I166" s="12">
        <f>IF($AE166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-162+0.5)/3.5))))</f>
        <v/>
      </c>
      <c r="J166" s="12">
        <f>IF($AE166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-162+0.5)/3.5))))</f>
        <v/>
      </c>
      <c r="K166" s="13">
        <f>IF($AE166="","",IFERROR(INDEX(Players!$U$2:$U$301,$AE166),""))</f>
        <v/>
      </c>
      <c r="L166" s="13">
        <f>IF($AE166="","",IFERROR(INDEX(Players!$X$2:$X$301,$AE166),""))</f>
        <v/>
      </c>
      <c r="M166" s="14">
        <f>IF($AE166="","",IFERROR(INDEX(Players!$K$2:$K$301,$AE166),""))</f>
        <v/>
      </c>
      <c r="N166" s="14">
        <f>IF($AE166="","",IFERROR(INDEX(Players!$H$2:$H$301,$AE166),""))</f>
        <v/>
      </c>
      <c r="O166" s="15">
        <f>IF($AE166="","",IFERROR(INDEX(Players!$G$2:$G$301,$AE166),""))</f>
        <v/>
      </c>
      <c r="P166" s="14">
        <f>IF($AE166="","",IFERROR(INDEX(Players!$I$2:$I$301,$AE166),""))</f>
        <v/>
      </c>
      <c r="Q166" s="14">
        <f>IF($AE166="","",IFERROR(INDEX(Players!$F$2:$F$301,$AE166),""))</f>
        <v/>
      </c>
      <c r="R166" s="14">
        <f>IF($AE166="","",IFERROR(INDEX(Players!$J$2:$J$301,$AE166),""))</f>
        <v/>
      </c>
      <c r="S166" s="15">
        <f>IF($AE166="","",IFERROR(INDEX(Players!$L$2:$L$301,$AE166),""))</f>
        <v/>
      </c>
      <c r="T166" s="14">
        <f>IF($AE166="","",IFERROR(INDEX(Players!$M$2:$M$301,$AE166),""))</f>
        <v/>
      </c>
      <c r="U166" s="14">
        <f>IF($AE166="","",IFERROR(INDEX(Players!$N$2:$N$301,$AE166),""))</f>
        <v/>
      </c>
      <c r="V166" s="14">
        <f>IF($AE166="","",IFERROR(INDEX(Players!$O$2:$O$301,$AE166),""))</f>
        <v/>
      </c>
      <c r="W166" s="14">
        <f>IF($AE166="","",IFERROR(INDEX(Players!$P$2:$P$301,$AE166),""))</f>
        <v/>
      </c>
      <c r="X166" s="14">
        <f>IF($AE166="","",IFERROR(INDEX(Players!$Q$2:$Q$301,$AE166),""))</f>
        <v/>
      </c>
      <c r="Y166" s="14">
        <f>IF($AE166="","",IFERROR(INDEX(Players!$R$2:$R$301,$AE166),""))</f>
        <v/>
      </c>
      <c r="AE166">
        <f>IFERROR(MATCH(LARGE(Players!$V$2:$V$301,162),Players!$V$2:$V$301,0),"")</f>
        <v/>
      </c>
    </row>
    <row r="167">
      <c r="A167" s="9" t="inlineStr">
        <is>
          <t>14.07</t>
        </is>
      </c>
      <c r="B167" s="18" t="inlineStr">
        <is>
          <t>Team 6</t>
        </is>
      </c>
      <c r="C167" s="19" t="n"/>
      <c r="E167" s="9" t="n">
        <v>163</v>
      </c>
      <c r="F167">
        <f>IF($AE167="","",IFERROR(INDEX(Players!$B$2:$B$301,$AE167),""))</f>
        <v/>
      </c>
      <c r="G167">
        <f>IF($AE167="","",IFERROR(INDEX(Players!$D$2:$D$301,$AE167),""))</f>
        <v/>
      </c>
      <c r="H167">
        <f>IF($AE167="","",IFERROR(INDEX(Players!$C$2:$C$301,$AE167),""))</f>
        <v/>
      </c>
      <c r="I167" s="12">
        <f>IF($AE167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-163+0.5)/3.5))))</f>
        <v/>
      </c>
      <c r="J167" s="12">
        <f>IF($AE167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-163+0.5)/3.5))))</f>
        <v/>
      </c>
      <c r="K167" s="13">
        <f>IF($AE167="","",IFERROR(INDEX(Players!$U$2:$U$301,$AE167),""))</f>
        <v/>
      </c>
      <c r="L167" s="13">
        <f>IF($AE167="","",IFERROR(INDEX(Players!$X$2:$X$301,$AE167),""))</f>
        <v/>
      </c>
      <c r="M167" s="14">
        <f>IF($AE167="","",IFERROR(INDEX(Players!$K$2:$K$301,$AE167),""))</f>
        <v/>
      </c>
      <c r="N167" s="14">
        <f>IF($AE167="","",IFERROR(INDEX(Players!$H$2:$H$301,$AE167),""))</f>
        <v/>
      </c>
      <c r="O167" s="15">
        <f>IF($AE167="","",IFERROR(INDEX(Players!$G$2:$G$301,$AE167),""))</f>
        <v/>
      </c>
      <c r="P167" s="14">
        <f>IF($AE167="","",IFERROR(INDEX(Players!$I$2:$I$301,$AE167),""))</f>
        <v/>
      </c>
      <c r="Q167" s="14">
        <f>IF($AE167="","",IFERROR(INDEX(Players!$F$2:$F$301,$AE167),""))</f>
        <v/>
      </c>
      <c r="R167" s="14">
        <f>IF($AE167="","",IFERROR(INDEX(Players!$J$2:$J$301,$AE167),""))</f>
        <v/>
      </c>
      <c r="S167" s="15">
        <f>IF($AE167="","",IFERROR(INDEX(Players!$L$2:$L$301,$AE167),""))</f>
        <v/>
      </c>
      <c r="T167" s="14">
        <f>IF($AE167="","",IFERROR(INDEX(Players!$M$2:$M$301,$AE167),""))</f>
        <v/>
      </c>
      <c r="U167" s="14">
        <f>IF($AE167="","",IFERROR(INDEX(Players!$N$2:$N$301,$AE167),""))</f>
        <v/>
      </c>
      <c r="V167" s="14">
        <f>IF($AE167="","",IFERROR(INDEX(Players!$O$2:$O$301,$AE167),""))</f>
        <v/>
      </c>
      <c r="W167" s="14">
        <f>IF($AE167="","",IFERROR(INDEX(Players!$P$2:$P$301,$AE167),""))</f>
        <v/>
      </c>
      <c r="X167" s="14">
        <f>IF($AE167="","",IFERROR(INDEX(Players!$Q$2:$Q$301,$AE167),""))</f>
        <v/>
      </c>
      <c r="Y167" s="14">
        <f>IF($AE167="","",IFERROR(INDEX(Players!$R$2:$R$301,$AE167),""))</f>
        <v/>
      </c>
      <c r="AE167">
        <f>IFERROR(MATCH(LARGE(Players!$V$2:$V$301,163),Players!$V$2:$V$301,0),"")</f>
        <v/>
      </c>
    </row>
    <row r="168">
      <c r="A168" s="9" t="inlineStr">
        <is>
          <t>14.08</t>
        </is>
      </c>
      <c r="B168" s="18" t="inlineStr">
        <is>
          <t>Team 5</t>
        </is>
      </c>
      <c r="C168" s="19" t="n"/>
      <c r="E168" s="9" t="n">
        <v>164</v>
      </c>
      <c r="F168">
        <f>IF($AE168="","",IFERROR(INDEX(Players!$B$2:$B$301,$AE168),""))</f>
        <v/>
      </c>
      <c r="G168">
        <f>IF($AE168="","",IFERROR(INDEX(Players!$D$2:$D$301,$AE168),""))</f>
        <v/>
      </c>
      <c r="H168">
        <f>IF($AE168="","",IFERROR(INDEX(Players!$C$2:$C$301,$AE168),""))</f>
        <v/>
      </c>
      <c r="I168" s="12">
        <f>IF($AE168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-164+0.5)/3.5))))</f>
        <v/>
      </c>
      <c r="J168" s="12">
        <f>IF($AE168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-164+0.5)/3.5))))</f>
        <v/>
      </c>
      <c r="K168" s="13">
        <f>IF($AE168="","",IFERROR(INDEX(Players!$U$2:$U$301,$AE168),""))</f>
        <v/>
      </c>
      <c r="L168" s="13">
        <f>IF($AE168="","",IFERROR(INDEX(Players!$X$2:$X$301,$AE168),""))</f>
        <v/>
      </c>
      <c r="M168" s="14">
        <f>IF($AE168="","",IFERROR(INDEX(Players!$K$2:$K$301,$AE168),""))</f>
        <v/>
      </c>
      <c r="N168" s="14">
        <f>IF($AE168="","",IFERROR(INDEX(Players!$H$2:$H$301,$AE168),""))</f>
        <v/>
      </c>
      <c r="O168" s="15">
        <f>IF($AE168="","",IFERROR(INDEX(Players!$G$2:$G$301,$AE168),""))</f>
        <v/>
      </c>
      <c r="P168" s="14">
        <f>IF($AE168="","",IFERROR(INDEX(Players!$I$2:$I$301,$AE168),""))</f>
        <v/>
      </c>
      <c r="Q168" s="14">
        <f>IF($AE168="","",IFERROR(INDEX(Players!$F$2:$F$301,$AE168),""))</f>
        <v/>
      </c>
      <c r="R168" s="14">
        <f>IF($AE168="","",IFERROR(INDEX(Players!$J$2:$J$301,$AE168),""))</f>
        <v/>
      </c>
      <c r="S168" s="15">
        <f>IF($AE168="","",IFERROR(INDEX(Players!$L$2:$L$301,$AE168),""))</f>
        <v/>
      </c>
      <c r="T168" s="14">
        <f>IF($AE168="","",IFERROR(INDEX(Players!$M$2:$M$301,$AE168),""))</f>
        <v/>
      </c>
      <c r="U168" s="14">
        <f>IF($AE168="","",IFERROR(INDEX(Players!$N$2:$N$301,$AE168),""))</f>
        <v/>
      </c>
      <c r="V168" s="14">
        <f>IF($AE168="","",IFERROR(INDEX(Players!$O$2:$O$301,$AE168),""))</f>
        <v/>
      </c>
      <c r="W168" s="14">
        <f>IF($AE168="","",IFERROR(INDEX(Players!$P$2:$P$301,$AE168),""))</f>
        <v/>
      </c>
      <c r="X168" s="14">
        <f>IF($AE168="","",IFERROR(INDEX(Players!$Q$2:$Q$301,$AE168),""))</f>
        <v/>
      </c>
      <c r="Y168" s="14">
        <f>IF($AE168="","",IFERROR(INDEX(Players!$R$2:$R$301,$AE168),""))</f>
        <v/>
      </c>
      <c r="AE168">
        <f>IFERROR(MATCH(LARGE(Players!$V$2:$V$301,164),Players!$V$2:$V$301,0),"")</f>
        <v/>
      </c>
    </row>
    <row r="169">
      <c r="A169" s="9" t="inlineStr">
        <is>
          <t>14.09</t>
        </is>
      </c>
      <c r="B169" s="18" t="inlineStr">
        <is>
          <t>Team 4</t>
        </is>
      </c>
      <c r="C169" s="19" t="n"/>
      <c r="E169" s="9" t="n">
        <v>165</v>
      </c>
      <c r="F169">
        <f>IF($AE169="","",IFERROR(INDEX(Players!$B$2:$B$301,$AE169),""))</f>
        <v/>
      </c>
      <c r="G169">
        <f>IF($AE169="","",IFERROR(INDEX(Players!$D$2:$D$301,$AE169),""))</f>
        <v/>
      </c>
      <c r="H169">
        <f>IF($AE169="","",IFERROR(INDEX(Players!$C$2:$C$301,$AE169),""))</f>
        <v/>
      </c>
      <c r="I169" s="12">
        <f>IF($AE169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-165+0.5)/3.5))))</f>
        <v/>
      </c>
      <c r="J169" s="12">
        <f>IF($AE169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-165+0.5)/3.5))))</f>
        <v/>
      </c>
      <c r="K169" s="13">
        <f>IF($AE169="","",IFERROR(INDEX(Players!$U$2:$U$301,$AE169),""))</f>
        <v/>
      </c>
      <c r="L169" s="13">
        <f>IF($AE169="","",IFERROR(INDEX(Players!$X$2:$X$301,$AE169),""))</f>
        <v/>
      </c>
      <c r="M169" s="14">
        <f>IF($AE169="","",IFERROR(INDEX(Players!$K$2:$K$301,$AE169),""))</f>
        <v/>
      </c>
      <c r="N169" s="14">
        <f>IF($AE169="","",IFERROR(INDEX(Players!$H$2:$H$301,$AE169),""))</f>
        <v/>
      </c>
      <c r="O169" s="15">
        <f>IF($AE169="","",IFERROR(INDEX(Players!$G$2:$G$301,$AE169),""))</f>
        <v/>
      </c>
      <c r="P169" s="14">
        <f>IF($AE169="","",IFERROR(INDEX(Players!$I$2:$I$301,$AE169),""))</f>
        <v/>
      </c>
      <c r="Q169" s="14">
        <f>IF($AE169="","",IFERROR(INDEX(Players!$F$2:$F$301,$AE169),""))</f>
        <v/>
      </c>
      <c r="R169" s="14">
        <f>IF($AE169="","",IFERROR(INDEX(Players!$J$2:$J$301,$AE169),""))</f>
        <v/>
      </c>
      <c r="S169" s="15">
        <f>IF($AE169="","",IFERROR(INDEX(Players!$L$2:$L$301,$AE169),""))</f>
        <v/>
      </c>
      <c r="T169" s="14">
        <f>IF($AE169="","",IFERROR(INDEX(Players!$M$2:$M$301,$AE169),""))</f>
        <v/>
      </c>
      <c r="U169" s="14">
        <f>IF($AE169="","",IFERROR(INDEX(Players!$N$2:$N$301,$AE169),""))</f>
        <v/>
      </c>
      <c r="V169" s="14">
        <f>IF($AE169="","",IFERROR(INDEX(Players!$O$2:$O$301,$AE169),""))</f>
        <v/>
      </c>
      <c r="W169" s="14">
        <f>IF($AE169="","",IFERROR(INDEX(Players!$P$2:$P$301,$AE169),""))</f>
        <v/>
      </c>
      <c r="X169" s="14">
        <f>IF($AE169="","",IFERROR(INDEX(Players!$Q$2:$Q$301,$AE169),""))</f>
        <v/>
      </c>
      <c r="Y169" s="14">
        <f>IF($AE169="","",IFERROR(INDEX(Players!$R$2:$R$301,$AE169),""))</f>
        <v/>
      </c>
      <c r="AE169">
        <f>IFERROR(MATCH(LARGE(Players!$V$2:$V$301,165),Players!$V$2:$V$301,0),"")</f>
        <v/>
      </c>
    </row>
    <row r="170">
      <c r="A170" s="9" t="inlineStr">
        <is>
          <t>14.10</t>
        </is>
      </c>
      <c r="B170" s="18" t="inlineStr">
        <is>
          <t>Team 3</t>
        </is>
      </c>
      <c r="C170" s="19" t="n"/>
      <c r="E170" s="9" t="n">
        <v>166</v>
      </c>
      <c r="F170">
        <f>IF($AE170="","",IFERROR(INDEX(Players!$B$2:$B$301,$AE170),""))</f>
        <v/>
      </c>
      <c r="G170">
        <f>IF($AE170="","",IFERROR(INDEX(Players!$D$2:$D$301,$AE170),""))</f>
        <v/>
      </c>
      <c r="H170">
        <f>IF($AE170="","",IFERROR(INDEX(Players!$C$2:$C$301,$AE170),""))</f>
        <v/>
      </c>
      <c r="I170" s="12">
        <f>IF($AE170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-166+0.5)/3.5))))</f>
        <v/>
      </c>
      <c r="J170" s="12">
        <f>IF($AE170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-166+0.5)/3.5))))</f>
        <v/>
      </c>
      <c r="K170" s="13">
        <f>IF($AE170="","",IFERROR(INDEX(Players!$U$2:$U$301,$AE170),""))</f>
        <v/>
      </c>
      <c r="L170" s="13">
        <f>IF($AE170="","",IFERROR(INDEX(Players!$X$2:$X$301,$AE170),""))</f>
        <v/>
      </c>
      <c r="M170" s="14">
        <f>IF($AE170="","",IFERROR(INDEX(Players!$K$2:$K$301,$AE170),""))</f>
        <v/>
      </c>
      <c r="N170" s="14">
        <f>IF($AE170="","",IFERROR(INDEX(Players!$H$2:$H$301,$AE170),""))</f>
        <v/>
      </c>
      <c r="O170" s="15">
        <f>IF($AE170="","",IFERROR(INDEX(Players!$G$2:$G$301,$AE170),""))</f>
        <v/>
      </c>
      <c r="P170" s="14">
        <f>IF($AE170="","",IFERROR(INDEX(Players!$I$2:$I$301,$AE170),""))</f>
        <v/>
      </c>
      <c r="Q170" s="14">
        <f>IF($AE170="","",IFERROR(INDEX(Players!$F$2:$F$301,$AE170),""))</f>
        <v/>
      </c>
      <c r="R170" s="14">
        <f>IF($AE170="","",IFERROR(INDEX(Players!$J$2:$J$301,$AE170),""))</f>
        <v/>
      </c>
      <c r="S170" s="15">
        <f>IF($AE170="","",IFERROR(INDEX(Players!$L$2:$L$301,$AE170),""))</f>
        <v/>
      </c>
      <c r="T170" s="14">
        <f>IF($AE170="","",IFERROR(INDEX(Players!$M$2:$M$301,$AE170),""))</f>
        <v/>
      </c>
      <c r="U170" s="14">
        <f>IF($AE170="","",IFERROR(INDEX(Players!$N$2:$N$301,$AE170),""))</f>
        <v/>
      </c>
      <c r="V170" s="14">
        <f>IF($AE170="","",IFERROR(INDEX(Players!$O$2:$O$301,$AE170),""))</f>
        <v/>
      </c>
      <c r="W170" s="14">
        <f>IF($AE170="","",IFERROR(INDEX(Players!$P$2:$P$301,$AE170),""))</f>
        <v/>
      </c>
      <c r="X170" s="14">
        <f>IF($AE170="","",IFERROR(INDEX(Players!$Q$2:$Q$301,$AE170),""))</f>
        <v/>
      </c>
      <c r="Y170" s="14">
        <f>IF($AE170="","",IFERROR(INDEX(Players!$R$2:$R$301,$AE170),""))</f>
        <v/>
      </c>
      <c r="AE170">
        <f>IFERROR(MATCH(LARGE(Players!$V$2:$V$301,166),Players!$V$2:$V$301,0),"")</f>
        <v/>
      </c>
    </row>
    <row r="171">
      <c r="A171" s="9" t="inlineStr">
        <is>
          <t>14.11</t>
        </is>
      </c>
      <c r="B171" s="18" t="inlineStr">
        <is>
          <t>Team 2</t>
        </is>
      </c>
      <c r="C171" s="19" t="n"/>
      <c r="E171" s="9" t="n">
        <v>167</v>
      </c>
      <c r="F171">
        <f>IF($AE171="","",IFERROR(INDEX(Players!$B$2:$B$301,$AE171),""))</f>
        <v/>
      </c>
      <c r="G171">
        <f>IF($AE171="","",IFERROR(INDEX(Players!$D$2:$D$301,$AE171),""))</f>
        <v/>
      </c>
      <c r="H171">
        <f>IF($AE171="","",IFERROR(INDEX(Players!$C$2:$C$301,$AE171),""))</f>
        <v/>
      </c>
      <c r="I171" s="12">
        <f>IF($AE171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-167+0.5)/3.5))))</f>
        <v/>
      </c>
      <c r="J171" s="12">
        <f>IF($AE171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-167+0.5)/3.5))))</f>
        <v/>
      </c>
      <c r="K171" s="13">
        <f>IF($AE171="","",IFERROR(INDEX(Players!$U$2:$U$301,$AE171),""))</f>
        <v/>
      </c>
      <c r="L171" s="13">
        <f>IF($AE171="","",IFERROR(INDEX(Players!$X$2:$X$301,$AE171),""))</f>
        <v/>
      </c>
      <c r="M171" s="14">
        <f>IF($AE171="","",IFERROR(INDEX(Players!$K$2:$K$301,$AE171),""))</f>
        <v/>
      </c>
      <c r="N171" s="14">
        <f>IF($AE171="","",IFERROR(INDEX(Players!$H$2:$H$301,$AE171),""))</f>
        <v/>
      </c>
      <c r="O171" s="15">
        <f>IF($AE171="","",IFERROR(INDEX(Players!$G$2:$G$301,$AE171),""))</f>
        <v/>
      </c>
      <c r="P171" s="14">
        <f>IF($AE171="","",IFERROR(INDEX(Players!$I$2:$I$301,$AE171),""))</f>
        <v/>
      </c>
      <c r="Q171" s="14">
        <f>IF($AE171="","",IFERROR(INDEX(Players!$F$2:$F$301,$AE171),""))</f>
        <v/>
      </c>
      <c r="R171" s="14">
        <f>IF($AE171="","",IFERROR(INDEX(Players!$J$2:$J$301,$AE171),""))</f>
        <v/>
      </c>
      <c r="S171" s="15">
        <f>IF($AE171="","",IFERROR(INDEX(Players!$L$2:$L$301,$AE171),""))</f>
        <v/>
      </c>
      <c r="T171" s="14">
        <f>IF($AE171="","",IFERROR(INDEX(Players!$M$2:$M$301,$AE171),""))</f>
        <v/>
      </c>
      <c r="U171" s="14">
        <f>IF($AE171="","",IFERROR(INDEX(Players!$N$2:$N$301,$AE171),""))</f>
        <v/>
      </c>
      <c r="V171" s="14">
        <f>IF($AE171="","",IFERROR(INDEX(Players!$O$2:$O$301,$AE171),""))</f>
        <v/>
      </c>
      <c r="W171" s="14">
        <f>IF($AE171="","",IFERROR(INDEX(Players!$P$2:$P$301,$AE171),""))</f>
        <v/>
      </c>
      <c r="X171" s="14">
        <f>IF($AE171="","",IFERROR(INDEX(Players!$Q$2:$Q$301,$AE171),""))</f>
        <v/>
      </c>
      <c r="Y171" s="14">
        <f>IF($AE171="","",IFERROR(INDEX(Players!$R$2:$R$301,$AE171),""))</f>
        <v/>
      </c>
      <c r="AE171">
        <f>IFERROR(MATCH(LARGE(Players!$V$2:$V$301,167),Players!$V$2:$V$301,0),"")</f>
        <v/>
      </c>
    </row>
    <row r="172">
      <c r="A172" s="9" t="inlineStr">
        <is>
          <t>14.12</t>
        </is>
      </c>
      <c r="B172" s="10" t="inlineStr">
        <is>
          <t>Team 1</t>
        </is>
      </c>
      <c r="C172" s="11" t="n"/>
      <c r="E172" s="9" t="n">
        <v>168</v>
      </c>
      <c r="F172">
        <f>IF($AE172="","",IFERROR(INDEX(Players!$B$2:$B$301,$AE172),""))</f>
        <v/>
      </c>
      <c r="G172">
        <f>IF($AE172="","",IFERROR(INDEX(Players!$D$2:$D$301,$AE172),""))</f>
        <v/>
      </c>
      <c r="H172">
        <f>IF($AE172="","",IFERROR(INDEX(Players!$C$2:$C$301,$AE172),""))</f>
        <v/>
      </c>
      <c r="I172" s="12">
        <f>IF($AE172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-168+0.5)/3.5))))</f>
        <v/>
      </c>
      <c r="J172" s="12">
        <f>IF($AE172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-168+0.5)/3.5))))</f>
        <v/>
      </c>
      <c r="K172" s="13">
        <f>IF($AE172="","",IFERROR(INDEX(Players!$U$2:$U$301,$AE172),""))</f>
        <v/>
      </c>
      <c r="L172" s="13">
        <f>IF($AE172="","",IFERROR(INDEX(Players!$X$2:$X$301,$AE172),""))</f>
        <v/>
      </c>
      <c r="M172" s="14">
        <f>IF($AE172="","",IFERROR(INDEX(Players!$K$2:$K$301,$AE172),""))</f>
        <v/>
      </c>
      <c r="N172" s="14">
        <f>IF($AE172="","",IFERROR(INDEX(Players!$H$2:$H$301,$AE172),""))</f>
        <v/>
      </c>
      <c r="O172" s="15">
        <f>IF($AE172="","",IFERROR(INDEX(Players!$G$2:$G$301,$AE172),""))</f>
        <v/>
      </c>
      <c r="P172" s="14">
        <f>IF($AE172="","",IFERROR(INDEX(Players!$I$2:$I$301,$AE172),""))</f>
        <v/>
      </c>
      <c r="Q172" s="14">
        <f>IF($AE172="","",IFERROR(INDEX(Players!$F$2:$F$301,$AE172),""))</f>
        <v/>
      </c>
      <c r="R172" s="14">
        <f>IF($AE172="","",IFERROR(INDEX(Players!$J$2:$J$301,$AE172),""))</f>
        <v/>
      </c>
      <c r="S172" s="15">
        <f>IF($AE172="","",IFERROR(INDEX(Players!$L$2:$L$301,$AE172),""))</f>
        <v/>
      </c>
      <c r="T172" s="14">
        <f>IF($AE172="","",IFERROR(INDEX(Players!$M$2:$M$301,$AE172),""))</f>
        <v/>
      </c>
      <c r="U172" s="14">
        <f>IF($AE172="","",IFERROR(INDEX(Players!$N$2:$N$301,$AE172),""))</f>
        <v/>
      </c>
      <c r="V172" s="14">
        <f>IF($AE172="","",IFERROR(INDEX(Players!$O$2:$O$301,$AE172),""))</f>
        <v/>
      </c>
      <c r="W172" s="14">
        <f>IF($AE172="","",IFERROR(INDEX(Players!$P$2:$P$301,$AE172),""))</f>
        <v/>
      </c>
      <c r="X172" s="14">
        <f>IF($AE172="","",IFERROR(INDEX(Players!$Q$2:$Q$301,$AE172),""))</f>
        <v/>
      </c>
      <c r="Y172" s="14">
        <f>IF($AE172="","",IFERROR(INDEX(Players!$R$2:$R$301,$AE172),""))</f>
        <v/>
      </c>
      <c r="AE172">
        <f>IFERROR(MATCH(LARGE(Players!$V$2:$V$301,168),Players!$V$2:$V$301,0),"")</f>
        <v/>
      </c>
    </row>
    <row r="173">
      <c r="A173" s="9" t="inlineStr">
        <is>
          <t>15.01</t>
        </is>
      </c>
      <c r="B173" s="10" t="inlineStr">
        <is>
          <t>Team 1</t>
        </is>
      </c>
      <c r="C173" s="11" t="n"/>
      <c r="E173" s="9" t="n">
        <v>169</v>
      </c>
      <c r="F173">
        <f>IF($AE173="","",IFERROR(INDEX(Players!$B$2:$B$301,$AE173),""))</f>
        <v/>
      </c>
      <c r="G173">
        <f>IF($AE173="","",IFERROR(INDEX(Players!$D$2:$D$301,$AE173),""))</f>
        <v/>
      </c>
      <c r="H173">
        <f>IF($AE173="","",IFERROR(INDEX(Players!$C$2:$C$301,$AE173),""))</f>
        <v/>
      </c>
      <c r="I173" s="12">
        <f>IF($AE173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-169+0.5)/3.5))))</f>
        <v/>
      </c>
      <c r="J173" s="12">
        <f>IF($AE173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-169+0.5)/3.5))))</f>
        <v/>
      </c>
      <c r="K173" s="13">
        <f>IF($AE173="","",IFERROR(INDEX(Players!$U$2:$U$301,$AE173),""))</f>
        <v/>
      </c>
      <c r="L173" s="13">
        <f>IF($AE173="","",IFERROR(INDEX(Players!$X$2:$X$301,$AE173),""))</f>
        <v/>
      </c>
      <c r="M173" s="14">
        <f>IF($AE173="","",IFERROR(INDEX(Players!$K$2:$K$301,$AE173),""))</f>
        <v/>
      </c>
      <c r="N173" s="14">
        <f>IF($AE173="","",IFERROR(INDEX(Players!$H$2:$H$301,$AE173),""))</f>
        <v/>
      </c>
      <c r="O173" s="15">
        <f>IF($AE173="","",IFERROR(INDEX(Players!$G$2:$G$301,$AE173),""))</f>
        <v/>
      </c>
      <c r="P173" s="14">
        <f>IF($AE173="","",IFERROR(INDEX(Players!$I$2:$I$301,$AE173),""))</f>
        <v/>
      </c>
      <c r="Q173" s="14">
        <f>IF($AE173="","",IFERROR(INDEX(Players!$F$2:$F$301,$AE173),""))</f>
        <v/>
      </c>
      <c r="R173" s="14">
        <f>IF($AE173="","",IFERROR(INDEX(Players!$J$2:$J$301,$AE173),""))</f>
        <v/>
      </c>
      <c r="S173" s="15">
        <f>IF($AE173="","",IFERROR(INDEX(Players!$L$2:$L$301,$AE173),""))</f>
        <v/>
      </c>
      <c r="T173" s="14">
        <f>IF($AE173="","",IFERROR(INDEX(Players!$M$2:$M$301,$AE173),""))</f>
        <v/>
      </c>
      <c r="U173" s="14">
        <f>IF($AE173="","",IFERROR(INDEX(Players!$N$2:$N$301,$AE173),""))</f>
        <v/>
      </c>
      <c r="V173" s="14">
        <f>IF($AE173="","",IFERROR(INDEX(Players!$O$2:$O$301,$AE173),""))</f>
        <v/>
      </c>
      <c r="W173" s="14">
        <f>IF($AE173="","",IFERROR(INDEX(Players!$P$2:$P$301,$AE173),""))</f>
        <v/>
      </c>
      <c r="X173" s="14">
        <f>IF($AE173="","",IFERROR(INDEX(Players!$Q$2:$Q$301,$AE173),""))</f>
        <v/>
      </c>
      <c r="Y173" s="14">
        <f>IF($AE173="","",IFERROR(INDEX(Players!$R$2:$R$301,$AE173),""))</f>
        <v/>
      </c>
      <c r="AE173">
        <f>IFERROR(MATCH(LARGE(Players!$V$2:$V$301,169),Players!$V$2:$V$301,0),"")</f>
        <v/>
      </c>
    </row>
    <row r="174">
      <c r="A174" s="9" t="inlineStr">
        <is>
          <t>15.02</t>
        </is>
      </c>
      <c r="B174" s="18" t="inlineStr">
        <is>
          <t>Team 2</t>
        </is>
      </c>
      <c r="C174" s="19" t="n"/>
      <c r="E174" s="9" t="n">
        <v>170</v>
      </c>
      <c r="F174">
        <f>IF($AE174="","",IFERROR(INDEX(Players!$B$2:$B$301,$AE174),""))</f>
        <v/>
      </c>
      <c r="G174">
        <f>IF($AE174="","",IFERROR(INDEX(Players!$D$2:$D$301,$AE174),""))</f>
        <v/>
      </c>
      <c r="H174">
        <f>IF($AE174="","",IFERROR(INDEX(Players!$C$2:$C$301,$AE174),""))</f>
        <v/>
      </c>
      <c r="I174" s="12">
        <f>IF($AE174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-170+0.5)/3.5))))</f>
        <v/>
      </c>
      <c r="J174" s="12">
        <f>IF($AE174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-170+0.5)/3.5))))</f>
        <v/>
      </c>
      <c r="K174" s="13">
        <f>IF($AE174="","",IFERROR(INDEX(Players!$U$2:$U$301,$AE174),""))</f>
        <v/>
      </c>
      <c r="L174" s="13">
        <f>IF($AE174="","",IFERROR(INDEX(Players!$X$2:$X$301,$AE174),""))</f>
        <v/>
      </c>
      <c r="M174" s="14">
        <f>IF($AE174="","",IFERROR(INDEX(Players!$K$2:$K$301,$AE174),""))</f>
        <v/>
      </c>
      <c r="N174" s="14">
        <f>IF($AE174="","",IFERROR(INDEX(Players!$H$2:$H$301,$AE174),""))</f>
        <v/>
      </c>
      <c r="O174" s="15">
        <f>IF($AE174="","",IFERROR(INDEX(Players!$G$2:$G$301,$AE174),""))</f>
        <v/>
      </c>
      <c r="P174" s="14">
        <f>IF($AE174="","",IFERROR(INDEX(Players!$I$2:$I$301,$AE174),""))</f>
        <v/>
      </c>
      <c r="Q174" s="14">
        <f>IF($AE174="","",IFERROR(INDEX(Players!$F$2:$F$301,$AE174),""))</f>
        <v/>
      </c>
      <c r="R174" s="14">
        <f>IF($AE174="","",IFERROR(INDEX(Players!$J$2:$J$301,$AE174),""))</f>
        <v/>
      </c>
      <c r="S174" s="15">
        <f>IF($AE174="","",IFERROR(INDEX(Players!$L$2:$L$301,$AE174),""))</f>
        <v/>
      </c>
      <c r="T174" s="14">
        <f>IF($AE174="","",IFERROR(INDEX(Players!$M$2:$M$301,$AE174),""))</f>
        <v/>
      </c>
      <c r="U174" s="14">
        <f>IF($AE174="","",IFERROR(INDEX(Players!$N$2:$N$301,$AE174),""))</f>
        <v/>
      </c>
      <c r="V174" s="14">
        <f>IF($AE174="","",IFERROR(INDEX(Players!$O$2:$O$301,$AE174),""))</f>
        <v/>
      </c>
      <c r="W174" s="14">
        <f>IF($AE174="","",IFERROR(INDEX(Players!$P$2:$P$301,$AE174),""))</f>
        <v/>
      </c>
      <c r="X174" s="14">
        <f>IF($AE174="","",IFERROR(INDEX(Players!$Q$2:$Q$301,$AE174),""))</f>
        <v/>
      </c>
      <c r="Y174" s="14">
        <f>IF($AE174="","",IFERROR(INDEX(Players!$R$2:$R$301,$AE174),""))</f>
        <v/>
      </c>
      <c r="AE174">
        <f>IFERROR(MATCH(LARGE(Players!$V$2:$V$301,170),Players!$V$2:$V$301,0),"")</f>
        <v/>
      </c>
    </row>
    <row r="175">
      <c r="A175" s="9" t="inlineStr">
        <is>
          <t>15.03</t>
        </is>
      </c>
      <c r="B175" s="18" t="inlineStr">
        <is>
          <t>Team 3</t>
        </is>
      </c>
      <c r="C175" s="19" t="n"/>
      <c r="E175" s="9" t="n">
        <v>171</v>
      </c>
      <c r="F175">
        <f>IF($AE175="","",IFERROR(INDEX(Players!$B$2:$B$301,$AE175),""))</f>
        <v/>
      </c>
      <c r="G175">
        <f>IF($AE175="","",IFERROR(INDEX(Players!$D$2:$D$301,$AE175),""))</f>
        <v/>
      </c>
      <c r="H175">
        <f>IF($AE175="","",IFERROR(INDEX(Players!$C$2:$C$301,$AE175),""))</f>
        <v/>
      </c>
      <c r="I175" s="12">
        <f>IF($AE175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-171+0.5)/3.5))))</f>
        <v/>
      </c>
      <c r="J175" s="12">
        <f>IF($AE175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-171+0.5)/3.5))))</f>
        <v/>
      </c>
      <c r="K175" s="13">
        <f>IF($AE175="","",IFERROR(INDEX(Players!$U$2:$U$301,$AE175),""))</f>
        <v/>
      </c>
      <c r="L175" s="13">
        <f>IF($AE175="","",IFERROR(INDEX(Players!$X$2:$X$301,$AE175),""))</f>
        <v/>
      </c>
      <c r="M175" s="14">
        <f>IF($AE175="","",IFERROR(INDEX(Players!$K$2:$K$301,$AE175),""))</f>
        <v/>
      </c>
      <c r="N175" s="14">
        <f>IF($AE175="","",IFERROR(INDEX(Players!$H$2:$H$301,$AE175),""))</f>
        <v/>
      </c>
      <c r="O175" s="15">
        <f>IF($AE175="","",IFERROR(INDEX(Players!$G$2:$G$301,$AE175),""))</f>
        <v/>
      </c>
      <c r="P175" s="14">
        <f>IF($AE175="","",IFERROR(INDEX(Players!$I$2:$I$301,$AE175),""))</f>
        <v/>
      </c>
      <c r="Q175" s="14">
        <f>IF($AE175="","",IFERROR(INDEX(Players!$F$2:$F$301,$AE175),""))</f>
        <v/>
      </c>
      <c r="R175" s="14">
        <f>IF($AE175="","",IFERROR(INDEX(Players!$J$2:$J$301,$AE175),""))</f>
        <v/>
      </c>
      <c r="S175" s="15">
        <f>IF($AE175="","",IFERROR(INDEX(Players!$L$2:$L$301,$AE175),""))</f>
        <v/>
      </c>
      <c r="T175" s="14">
        <f>IF($AE175="","",IFERROR(INDEX(Players!$M$2:$M$301,$AE175),""))</f>
        <v/>
      </c>
      <c r="U175" s="14">
        <f>IF($AE175="","",IFERROR(INDEX(Players!$N$2:$N$301,$AE175),""))</f>
        <v/>
      </c>
      <c r="V175" s="14">
        <f>IF($AE175="","",IFERROR(INDEX(Players!$O$2:$O$301,$AE175),""))</f>
        <v/>
      </c>
      <c r="W175" s="14">
        <f>IF($AE175="","",IFERROR(INDEX(Players!$P$2:$P$301,$AE175),""))</f>
        <v/>
      </c>
      <c r="X175" s="14">
        <f>IF($AE175="","",IFERROR(INDEX(Players!$Q$2:$Q$301,$AE175),""))</f>
        <v/>
      </c>
      <c r="Y175" s="14">
        <f>IF($AE175="","",IFERROR(INDEX(Players!$R$2:$R$301,$AE175),""))</f>
        <v/>
      </c>
      <c r="AE175">
        <f>IFERROR(MATCH(LARGE(Players!$V$2:$V$301,171),Players!$V$2:$V$301,0),"")</f>
        <v/>
      </c>
    </row>
    <row r="176">
      <c r="A176" s="9" t="inlineStr">
        <is>
          <t>15.04</t>
        </is>
      </c>
      <c r="B176" s="18" t="inlineStr">
        <is>
          <t>Team 4</t>
        </is>
      </c>
      <c r="C176" s="19" t="n"/>
      <c r="E176" s="9" t="n">
        <v>172</v>
      </c>
      <c r="F176">
        <f>IF($AE176="","",IFERROR(INDEX(Players!$B$2:$B$301,$AE176),""))</f>
        <v/>
      </c>
      <c r="G176">
        <f>IF($AE176="","",IFERROR(INDEX(Players!$D$2:$D$301,$AE176),""))</f>
        <v/>
      </c>
      <c r="H176">
        <f>IF($AE176="","",IFERROR(INDEX(Players!$C$2:$C$301,$AE176),""))</f>
        <v/>
      </c>
      <c r="I176" s="12">
        <f>IF($AE176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-172+0.5)/3.5))))</f>
        <v/>
      </c>
      <c r="J176" s="12">
        <f>IF($AE176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-172+0.5)/3.5))))</f>
        <v/>
      </c>
      <c r="K176" s="13">
        <f>IF($AE176="","",IFERROR(INDEX(Players!$U$2:$U$301,$AE176),""))</f>
        <v/>
      </c>
      <c r="L176" s="13">
        <f>IF($AE176="","",IFERROR(INDEX(Players!$X$2:$X$301,$AE176),""))</f>
        <v/>
      </c>
      <c r="M176" s="14">
        <f>IF($AE176="","",IFERROR(INDEX(Players!$K$2:$K$301,$AE176),""))</f>
        <v/>
      </c>
      <c r="N176" s="14">
        <f>IF($AE176="","",IFERROR(INDEX(Players!$H$2:$H$301,$AE176),""))</f>
        <v/>
      </c>
      <c r="O176" s="15">
        <f>IF($AE176="","",IFERROR(INDEX(Players!$G$2:$G$301,$AE176),""))</f>
        <v/>
      </c>
      <c r="P176" s="14">
        <f>IF($AE176="","",IFERROR(INDEX(Players!$I$2:$I$301,$AE176),""))</f>
        <v/>
      </c>
      <c r="Q176" s="14">
        <f>IF($AE176="","",IFERROR(INDEX(Players!$F$2:$F$301,$AE176),""))</f>
        <v/>
      </c>
      <c r="R176" s="14">
        <f>IF($AE176="","",IFERROR(INDEX(Players!$J$2:$J$301,$AE176),""))</f>
        <v/>
      </c>
      <c r="S176" s="15">
        <f>IF($AE176="","",IFERROR(INDEX(Players!$L$2:$L$301,$AE176),""))</f>
        <v/>
      </c>
      <c r="T176" s="14">
        <f>IF($AE176="","",IFERROR(INDEX(Players!$M$2:$M$301,$AE176),""))</f>
        <v/>
      </c>
      <c r="U176" s="14">
        <f>IF($AE176="","",IFERROR(INDEX(Players!$N$2:$N$301,$AE176),""))</f>
        <v/>
      </c>
      <c r="V176" s="14">
        <f>IF($AE176="","",IFERROR(INDEX(Players!$O$2:$O$301,$AE176),""))</f>
        <v/>
      </c>
      <c r="W176" s="14">
        <f>IF($AE176="","",IFERROR(INDEX(Players!$P$2:$P$301,$AE176),""))</f>
        <v/>
      </c>
      <c r="X176" s="14">
        <f>IF($AE176="","",IFERROR(INDEX(Players!$Q$2:$Q$301,$AE176),""))</f>
        <v/>
      </c>
      <c r="Y176" s="14">
        <f>IF($AE176="","",IFERROR(INDEX(Players!$R$2:$R$301,$AE176),""))</f>
        <v/>
      </c>
      <c r="AE176">
        <f>IFERROR(MATCH(LARGE(Players!$V$2:$V$301,172),Players!$V$2:$V$301,0),"")</f>
        <v/>
      </c>
    </row>
    <row r="177">
      <c r="A177" s="9" t="inlineStr">
        <is>
          <t>15.05</t>
        </is>
      </c>
      <c r="B177" s="18" t="inlineStr">
        <is>
          <t>Team 5</t>
        </is>
      </c>
      <c r="C177" s="19" t="n"/>
      <c r="E177" s="9" t="n">
        <v>173</v>
      </c>
      <c r="F177">
        <f>IF($AE177="","",IFERROR(INDEX(Players!$B$2:$B$301,$AE177),""))</f>
        <v/>
      </c>
      <c r="G177">
        <f>IF($AE177="","",IFERROR(INDEX(Players!$D$2:$D$301,$AE177),""))</f>
        <v/>
      </c>
      <c r="H177">
        <f>IF($AE177="","",IFERROR(INDEX(Players!$C$2:$C$301,$AE177),""))</f>
        <v/>
      </c>
      <c r="I177" s="12">
        <f>IF($AE177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-173+0.5)/3.5))))</f>
        <v/>
      </c>
      <c r="J177" s="12">
        <f>IF($AE177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-173+0.5)/3.5))))</f>
        <v/>
      </c>
      <c r="K177" s="13">
        <f>IF($AE177="","",IFERROR(INDEX(Players!$U$2:$U$301,$AE177),""))</f>
        <v/>
      </c>
      <c r="L177" s="13">
        <f>IF($AE177="","",IFERROR(INDEX(Players!$X$2:$X$301,$AE177),""))</f>
        <v/>
      </c>
      <c r="M177" s="14">
        <f>IF($AE177="","",IFERROR(INDEX(Players!$K$2:$K$301,$AE177),""))</f>
        <v/>
      </c>
      <c r="N177" s="14">
        <f>IF($AE177="","",IFERROR(INDEX(Players!$H$2:$H$301,$AE177),""))</f>
        <v/>
      </c>
      <c r="O177" s="15">
        <f>IF($AE177="","",IFERROR(INDEX(Players!$G$2:$G$301,$AE177),""))</f>
        <v/>
      </c>
      <c r="P177" s="14">
        <f>IF($AE177="","",IFERROR(INDEX(Players!$I$2:$I$301,$AE177),""))</f>
        <v/>
      </c>
      <c r="Q177" s="14">
        <f>IF($AE177="","",IFERROR(INDEX(Players!$F$2:$F$301,$AE177),""))</f>
        <v/>
      </c>
      <c r="R177" s="14">
        <f>IF($AE177="","",IFERROR(INDEX(Players!$J$2:$J$301,$AE177),""))</f>
        <v/>
      </c>
      <c r="S177" s="15">
        <f>IF($AE177="","",IFERROR(INDEX(Players!$L$2:$L$301,$AE177),""))</f>
        <v/>
      </c>
      <c r="T177" s="14">
        <f>IF($AE177="","",IFERROR(INDEX(Players!$M$2:$M$301,$AE177),""))</f>
        <v/>
      </c>
      <c r="U177" s="14">
        <f>IF($AE177="","",IFERROR(INDEX(Players!$N$2:$N$301,$AE177),""))</f>
        <v/>
      </c>
      <c r="V177" s="14">
        <f>IF($AE177="","",IFERROR(INDEX(Players!$O$2:$O$301,$AE177),""))</f>
        <v/>
      </c>
      <c r="W177" s="14">
        <f>IF($AE177="","",IFERROR(INDEX(Players!$P$2:$P$301,$AE177),""))</f>
        <v/>
      </c>
      <c r="X177" s="14">
        <f>IF($AE177="","",IFERROR(INDEX(Players!$Q$2:$Q$301,$AE177),""))</f>
        <v/>
      </c>
      <c r="Y177" s="14">
        <f>IF($AE177="","",IFERROR(INDEX(Players!$R$2:$R$301,$AE177),""))</f>
        <v/>
      </c>
      <c r="AE177">
        <f>IFERROR(MATCH(LARGE(Players!$V$2:$V$301,173),Players!$V$2:$V$301,0),"")</f>
        <v/>
      </c>
    </row>
    <row r="178">
      <c r="A178" s="9" t="inlineStr">
        <is>
          <t>15.06</t>
        </is>
      </c>
      <c r="B178" s="18" t="inlineStr">
        <is>
          <t>Team 6</t>
        </is>
      </c>
      <c r="C178" s="19" t="n"/>
      <c r="E178" s="9" t="n">
        <v>174</v>
      </c>
      <c r="F178">
        <f>IF($AE178="","",IFERROR(INDEX(Players!$B$2:$B$301,$AE178),""))</f>
        <v/>
      </c>
      <c r="G178">
        <f>IF($AE178="","",IFERROR(INDEX(Players!$D$2:$D$301,$AE178),""))</f>
        <v/>
      </c>
      <c r="H178">
        <f>IF($AE178="","",IFERROR(INDEX(Players!$C$2:$C$301,$AE178),""))</f>
        <v/>
      </c>
      <c r="I178" s="12">
        <f>IF($AE178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-174+0.5)/3.5))))</f>
        <v/>
      </c>
      <c r="J178" s="12">
        <f>IF($AE178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-174+0.5)/3.5))))</f>
        <v/>
      </c>
      <c r="K178" s="13">
        <f>IF($AE178="","",IFERROR(INDEX(Players!$U$2:$U$301,$AE178),""))</f>
        <v/>
      </c>
      <c r="L178" s="13">
        <f>IF($AE178="","",IFERROR(INDEX(Players!$X$2:$X$301,$AE178),""))</f>
        <v/>
      </c>
      <c r="M178" s="14">
        <f>IF($AE178="","",IFERROR(INDEX(Players!$K$2:$K$301,$AE178),""))</f>
        <v/>
      </c>
      <c r="N178" s="14">
        <f>IF($AE178="","",IFERROR(INDEX(Players!$H$2:$H$301,$AE178),""))</f>
        <v/>
      </c>
      <c r="O178" s="15">
        <f>IF($AE178="","",IFERROR(INDEX(Players!$G$2:$G$301,$AE178),""))</f>
        <v/>
      </c>
      <c r="P178" s="14">
        <f>IF($AE178="","",IFERROR(INDEX(Players!$I$2:$I$301,$AE178),""))</f>
        <v/>
      </c>
      <c r="Q178" s="14">
        <f>IF($AE178="","",IFERROR(INDEX(Players!$F$2:$F$301,$AE178),""))</f>
        <v/>
      </c>
      <c r="R178" s="14">
        <f>IF($AE178="","",IFERROR(INDEX(Players!$J$2:$J$301,$AE178),""))</f>
        <v/>
      </c>
      <c r="S178" s="15">
        <f>IF($AE178="","",IFERROR(INDEX(Players!$L$2:$L$301,$AE178),""))</f>
        <v/>
      </c>
      <c r="T178" s="14">
        <f>IF($AE178="","",IFERROR(INDEX(Players!$M$2:$M$301,$AE178),""))</f>
        <v/>
      </c>
      <c r="U178" s="14">
        <f>IF($AE178="","",IFERROR(INDEX(Players!$N$2:$N$301,$AE178),""))</f>
        <v/>
      </c>
      <c r="V178" s="14">
        <f>IF($AE178="","",IFERROR(INDEX(Players!$O$2:$O$301,$AE178),""))</f>
        <v/>
      </c>
      <c r="W178" s="14">
        <f>IF($AE178="","",IFERROR(INDEX(Players!$P$2:$P$301,$AE178),""))</f>
        <v/>
      </c>
      <c r="X178" s="14">
        <f>IF($AE178="","",IFERROR(INDEX(Players!$Q$2:$Q$301,$AE178),""))</f>
        <v/>
      </c>
      <c r="Y178" s="14">
        <f>IF($AE178="","",IFERROR(INDEX(Players!$R$2:$R$301,$AE178),""))</f>
        <v/>
      </c>
      <c r="AE178">
        <f>IFERROR(MATCH(LARGE(Players!$V$2:$V$301,174),Players!$V$2:$V$301,0),"")</f>
        <v/>
      </c>
    </row>
    <row r="179">
      <c r="A179" s="9" t="inlineStr">
        <is>
          <t>15.07</t>
        </is>
      </c>
      <c r="B179" s="18" t="inlineStr">
        <is>
          <t>Team 7</t>
        </is>
      </c>
      <c r="C179" s="19" t="n"/>
      <c r="E179" s="9" t="n">
        <v>175</v>
      </c>
      <c r="F179">
        <f>IF($AE179="","",IFERROR(INDEX(Players!$B$2:$B$301,$AE179),""))</f>
        <v/>
      </c>
      <c r="G179">
        <f>IF($AE179="","",IFERROR(INDEX(Players!$D$2:$D$301,$AE179),""))</f>
        <v/>
      </c>
      <c r="H179">
        <f>IF($AE179="","",IFERROR(INDEX(Players!$C$2:$C$301,$AE179),""))</f>
        <v/>
      </c>
      <c r="I179" s="12">
        <f>IF($AE179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-175+0.5)/3.5))))</f>
        <v/>
      </c>
      <c r="J179" s="12">
        <f>IF($AE179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-175+0.5)/3.5))))</f>
        <v/>
      </c>
      <c r="K179" s="13">
        <f>IF($AE179="","",IFERROR(INDEX(Players!$U$2:$U$301,$AE179),""))</f>
        <v/>
      </c>
      <c r="L179" s="13">
        <f>IF($AE179="","",IFERROR(INDEX(Players!$X$2:$X$301,$AE179),""))</f>
        <v/>
      </c>
      <c r="M179" s="14">
        <f>IF($AE179="","",IFERROR(INDEX(Players!$K$2:$K$301,$AE179),""))</f>
        <v/>
      </c>
      <c r="N179" s="14">
        <f>IF($AE179="","",IFERROR(INDEX(Players!$H$2:$H$301,$AE179),""))</f>
        <v/>
      </c>
      <c r="O179" s="15">
        <f>IF($AE179="","",IFERROR(INDEX(Players!$G$2:$G$301,$AE179),""))</f>
        <v/>
      </c>
      <c r="P179" s="14">
        <f>IF($AE179="","",IFERROR(INDEX(Players!$I$2:$I$301,$AE179),""))</f>
        <v/>
      </c>
      <c r="Q179" s="14">
        <f>IF($AE179="","",IFERROR(INDEX(Players!$F$2:$F$301,$AE179),""))</f>
        <v/>
      </c>
      <c r="R179" s="14">
        <f>IF($AE179="","",IFERROR(INDEX(Players!$J$2:$J$301,$AE179),""))</f>
        <v/>
      </c>
      <c r="S179" s="15">
        <f>IF($AE179="","",IFERROR(INDEX(Players!$L$2:$L$301,$AE179),""))</f>
        <v/>
      </c>
      <c r="T179" s="14">
        <f>IF($AE179="","",IFERROR(INDEX(Players!$M$2:$M$301,$AE179),""))</f>
        <v/>
      </c>
      <c r="U179" s="14">
        <f>IF($AE179="","",IFERROR(INDEX(Players!$N$2:$N$301,$AE179),""))</f>
        <v/>
      </c>
      <c r="V179" s="14">
        <f>IF($AE179="","",IFERROR(INDEX(Players!$O$2:$O$301,$AE179),""))</f>
        <v/>
      </c>
      <c r="W179" s="14">
        <f>IF($AE179="","",IFERROR(INDEX(Players!$P$2:$P$301,$AE179),""))</f>
        <v/>
      </c>
      <c r="X179" s="14">
        <f>IF($AE179="","",IFERROR(INDEX(Players!$Q$2:$Q$301,$AE179),""))</f>
        <v/>
      </c>
      <c r="Y179" s="14">
        <f>IF($AE179="","",IFERROR(INDEX(Players!$R$2:$R$301,$AE179),""))</f>
        <v/>
      </c>
      <c r="AE179">
        <f>IFERROR(MATCH(LARGE(Players!$V$2:$V$301,175),Players!$V$2:$V$301,0),"")</f>
        <v/>
      </c>
    </row>
    <row r="180">
      <c r="A180" s="9" t="inlineStr">
        <is>
          <t>15.08</t>
        </is>
      </c>
      <c r="B180" s="18" t="inlineStr">
        <is>
          <t>Team 8</t>
        </is>
      </c>
      <c r="C180" s="19" t="n"/>
      <c r="E180" s="9" t="n">
        <v>176</v>
      </c>
      <c r="F180">
        <f>IF($AE180="","",IFERROR(INDEX(Players!$B$2:$B$301,$AE180),""))</f>
        <v/>
      </c>
      <c r="G180">
        <f>IF($AE180="","",IFERROR(INDEX(Players!$D$2:$D$301,$AE180),""))</f>
        <v/>
      </c>
      <c r="H180">
        <f>IF($AE180="","",IFERROR(INDEX(Players!$C$2:$C$301,$AE180),""))</f>
        <v/>
      </c>
      <c r="I180" s="12">
        <f>IF($AE180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-176+0.5)/3.5))))</f>
        <v/>
      </c>
      <c r="J180" s="12">
        <f>IF($AE180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-176+0.5)/3.5))))</f>
        <v/>
      </c>
      <c r="K180" s="13">
        <f>IF($AE180="","",IFERROR(INDEX(Players!$U$2:$U$301,$AE180),""))</f>
        <v/>
      </c>
      <c r="L180" s="13">
        <f>IF($AE180="","",IFERROR(INDEX(Players!$X$2:$X$301,$AE180),""))</f>
        <v/>
      </c>
      <c r="M180" s="14">
        <f>IF($AE180="","",IFERROR(INDEX(Players!$K$2:$K$301,$AE180),""))</f>
        <v/>
      </c>
      <c r="N180" s="14">
        <f>IF($AE180="","",IFERROR(INDEX(Players!$H$2:$H$301,$AE180),""))</f>
        <v/>
      </c>
      <c r="O180" s="15">
        <f>IF($AE180="","",IFERROR(INDEX(Players!$G$2:$G$301,$AE180),""))</f>
        <v/>
      </c>
      <c r="P180" s="14">
        <f>IF($AE180="","",IFERROR(INDEX(Players!$I$2:$I$301,$AE180),""))</f>
        <v/>
      </c>
      <c r="Q180" s="14">
        <f>IF($AE180="","",IFERROR(INDEX(Players!$F$2:$F$301,$AE180),""))</f>
        <v/>
      </c>
      <c r="R180" s="14">
        <f>IF($AE180="","",IFERROR(INDEX(Players!$J$2:$J$301,$AE180),""))</f>
        <v/>
      </c>
      <c r="S180" s="15">
        <f>IF($AE180="","",IFERROR(INDEX(Players!$L$2:$L$301,$AE180),""))</f>
        <v/>
      </c>
      <c r="T180" s="14">
        <f>IF($AE180="","",IFERROR(INDEX(Players!$M$2:$M$301,$AE180),""))</f>
        <v/>
      </c>
      <c r="U180" s="14">
        <f>IF($AE180="","",IFERROR(INDEX(Players!$N$2:$N$301,$AE180),""))</f>
        <v/>
      </c>
      <c r="V180" s="14">
        <f>IF($AE180="","",IFERROR(INDEX(Players!$O$2:$O$301,$AE180),""))</f>
        <v/>
      </c>
      <c r="W180" s="14">
        <f>IF($AE180="","",IFERROR(INDEX(Players!$P$2:$P$301,$AE180),""))</f>
        <v/>
      </c>
      <c r="X180" s="14">
        <f>IF($AE180="","",IFERROR(INDEX(Players!$Q$2:$Q$301,$AE180),""))</f>
        <v/>
      </c>
      <c r="Y180" s="14">
        <f>IF($AE180="","",IFERROR(INDEX(Players!$R$2:$R$301,$AE180),""))</f>
        <v/>
      </c>
      <c r="AE180">
        <f>IFERROR(MATCH(LARGE(Players!$V$2:$V$301,176),Players!$V$2:$V$301,0),"")</f>
        <v/>
      </c>
    </row>
    <row r="181">
      <c r="A181" s="9" t="inlineStr">
        <is>
          <t>15.09</t>
        </is>
      </c>
      <c r="B181" s="18" t="inlineStr">
        <is>
          <t>Team 9</t>
        </is>
      </c>
      <c r="C181" s="19" t="n"/>
      <c r="E181" s="9" t="n">
        <v>177</v>
      </c>
      <c r="F181">
        <f>IF($AE181="","",IFERROR(INDEX(Players!$B$2:$B$301,$AE181),""))</f>
        <v/>
      </c>
      <c r="G181">
        <f>IF($AE181="","",IFERROR(INDEX(Players!$D$2:$D$301,$AE181),""))</f>
        <v/>
      </c>
      <c r="H181">
        <f>IF($AE181="","",IFERROR(INDEX(Players!$C$2:$C$301,$AE181),""))</f>
        <v/>
      </c>
      <c r="I181" s="12">
        <f>IF($AE181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-177+0.5)/3.5))))</f>
        <v/>
      </c>
      <c r="J181" s="12">
        <f>IF($AE181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-177+0.5)/3.5))))</f>
        <v/>
      </c>
      <c r="K181" s="13">
        <f>IF($AE181="","",IFERROR(INDEX(Players!$U$2:$U$301,$AE181),""))</f>
        <v/>
      </c>
      <c r="L181" s="13">
        <f>IF($AE181="","",IFERROR(INDEX(Players!$X$2:$X$301,$AE181),""))</f>
        <v/>
      </c>
      <c r="M181" s="14">
        <f>IF($AE181="","",IFERROR(INDEX(Players!$K$2:$K$301,$AE181),""))</f>
        <v/>
      </c>
      <c r="N181" s="14">
        <f>IF($AE181="","",IFERROR(INDEX(Players!$H$2:$H$301,$AE181),""))</f>
        <v/>
      </c>
      <c r="O181" s="15">
        <f>IF($AE181="","",IFERROR(INDEX(Players!$G$2:$G$301,$AE181),""))</f>
        <v/>
      </c>
      <c r="P181" s="14">
        <f>IF($AE181="","",IFERROR(INDEX(Players!$I$2:$I$301,$AE181),""))</f>
        <v/>
      </c>
      <c r="Q181" s="14">
        <f>IF($AE181="","",IFERROR(INDEX(Players!$F$2:$F$301,$AE181),""))</f>
        <v/>
      </c>
      <c r="R181" s="14">
        <f>IF($AE181="","",IFERROR(INDEX(Players!$J$2:$J$301,$AE181),""))</f>
        <v/>
      </c>
      <c r="S181" s="15">
        <f>IF($AE181="","",IFERROR(INDEX(Players!$L$2:$L$301,$AE181),""))</f>
        <v/>
      </c>
      <c r="T181" s="14">
        <f>IF($AE181="","",IFERROR(INDEX(Players!$M$2:$M$301,$AE181),""))</f>
        <v/>
      </c>
      <c r="U181" s="14">
        <f>IF($AE181="","",IFERROR(INDEX(Players!$N$2:$N$301,$AE181),""))</f>
        <v/>
      </c>
      <c r="V181" s="14">
        <f>IF($AE181="","",IFERROR(INDEX(Players!$O$2:$O$301,$AE181),""))</f>
        <v/>
      </c>
      <c r="W181" s="14">
        <f>IF($AE181="","",IFERROR(INDEX(Players!$P$2:$P$301,$AE181),""))</f>
        <v/>
      </c>
      <c r="X181" s="14">
        <f>IF($AE181="","",IFERROR(INDEX(Players!$Q$2:$Q$301,$AE181),""))</f>
        <v/>
      </c>
      <c r="Y181" s="14">
        <f>IF($AE181="","",IFERROR(INDEX(Players!$R$2:$R$301,$AE181),""))</f>
        <v/>
      </c>
      <c r="AE181">
        <f>IFERROR(MATCH(LARGE(Players!$V$2:$V$301,177),Players!$V$2:$V$301,0),"")</f>
        <v/>
      </c>
    </row>
    <row r="182">
      <c r="A182" s="9" t="inlineStr">
        <is>
          <t>15.10</t>
        </is>
      </c>
      <c r="B182" s="18" t="inlineStr">
        <is>
          <t>Team 10</t>
        </is>
      </c>
      <c r="C182" s="19" t="n"/>
      <c r="E182" s="9" t="n">
        <v>178</v>
      </c>
      <c r="F182">
        <f>IF($AE182="","",IFERROR(INDEX(Players!$B$2:$B$301,$AE182),""))</f>
        <v/>
      </c>
      <c r="G182">
        <f>IF($AE182="","",IFERROR(INDEX(Players!$D$2:$D$301,$AE182),""))</f>
        <v/>
      </c>
      <c r="H182">
        <f>IF($AE182="","",IFERROR(INDEX(Players!$C$2:$C$301,$AE182),""))</f>
        <v/>
      </c>
      <c r="I182" s="12">
        <f>IF($AE182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-178+0.5)/3.5))))</f>
        <v/>
      </c>
      <c r="J182" s="12">
        <f>IF($AE182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-178+0.5)/3.5))))</f>
        <v/>
      </c>
      <c r="K182" s="13">
        <f>IF($AE182="","",IFERROR(INDEX(Players!$U$2:$U$301,$AE182),""))</f>
        <v/>
      </c>
      <c r="L182" s="13">
        <f>IF($AE182="","",IFERROR(INDEX(Players!$X$2:$X$301,$AE182),""))</f>
        <v/>
      </c>
      <c r="M182" s="14">
        <f>IF($AE182="","",IFERROR(INDEX(Players!$K$2:$K$301,$AE182),""))</f>
        <v/>
      </c>
      <c r="N182" s="14">
        <f>IF($AE182="","",IFERROR(INDEX(Players!$H$2:$H$301,$AE182),""))</f>
        <v/>
      </c>
      <c r="O182" s="15">
        <f>IF($AE182="","",IFERROR(INDEX(Players!$G$2:$G$301,$AE182),""))</f>
        <v/>
      </c>
      <c r="P182" s="14">
        <f>IF($AE182="","",IFERROR(INDEX(Players!$I$2:$I$301,$AE182),""))</f>
        <v/>
      </c>
      <c r="Q182" s="14">
        <f>IF($AE182="","",IFERROR(INDEX(Players!$F$2:$F$301,$AE182),""))</f>
        <v/>
      </c>
      <c r="R182" s="14">
        <f>IF($AE182="","",IFERROR(INDEX(Players!$J$2:$J$301,$AE182),""))</f>
        <v/>
      </c>
      <c r="S182" s="15">
        <f>IF($AE182="","",IFERROR(INDEX(Players!$L$2:$L$301,$AE182),""))</f>
        <v/>
      </c>
      <c r="T182" s="14">
        <f>IF($AE182="","",IFERROR(INDEX(Players!$M$2:$M$301,$AE182),""))</f>
        <v/>
      </c>
      <c r="U182" s="14">
        <f>IF($AE182="","",IFERROR(INDEX(Players!$N$2:$N$301,$AE182),""))</f>
        <v/>
      </c>
      <c r="V182" s="14">
        <f>IF($AE182="","",IFERROR(INDEX(Players!$O$2:$O$301,$AE182),""))</f>
        <v/>
      </c>
      <c r="W182" s="14">
        <f>IF($AE182="","",IFERROR(INDEX(Players!$P$2:$P$301,$AE182),""))</f>
        <v/>
      </c>
      <c r="X182" s="14">
        <f>IF($AE182="","",IFERROR(INDEX(Players!$Q$2:$Q$301,$AE182),""))</f>
        <v/>
      </c>
      <c r="Y182" s="14">
        <f>IF($AE182="","",IFERROR(INDEX(Players!$R$2:$R$301,$AE182),""))</f>
        <v/>
      </c>
      <c r="AE182">
        <f>IFERROR(MATCH(LARGE(Players!$V$2:$V$301,178),Players!$V$2:$V$301,0),"")</f>
        <v/>
      </c>
    </row>
    <row r="183">
      <c r="A183" s="9" t="inlineStr">
        <is>
          <t>15.11</t>
        </is>
      </c>
      <c r="B183" s="18" t="inlineStr">
        <is>
          <t>Team 11</t>
        </is>
      </c>
      <c r="C183" s="19" t="n"/>
      <c r="E183" s="9" t="n">
        <v>179</v>
      </c>
      <c r="F183">
        <f>IF($AE183="","",IFERROR(INDEX(Players!$B$2:$B$301,$AE183),""))</f>
        <v/>
      </c>
      <c r="G183">
        <f>IF($AE183="","",IFERROR(INDEX(Players!$D$2:$D$301,$AE183),""))</f>
        <v/>
      </c>
      <c r="H183">
        <f>IF($AE183="","",IFERROR(INDEX(Players!$C$2:$C$301,$AE183),""))</f>
        <v/>
      </c>
      <c r="I183" s="12">
        <f>IF($AE183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-179+0.5)/3.5))))</f>
        <v/>
      </c>
      <c r="J183" s="12">
        <f>IF($AE183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-179+0.5)/3.5))))</f>
        <v/>
      </c>
      <c r="K183" s="13">
        <f>IF($AE183="","",IFERROR(INDEX(Players!$U$2:$U$301,$AE183),""))</f>
        <v/>
      </c>
      <c r="L183" s="13">
        <f>IF($AE183="","",IFERROR(INDEX(Players!$X$2:$X$301,$AE183),""))</f>
        <v/>
      </c>
      <c r="M183" s="14">
        <f>IF($AE183="","",IFERROR(INDEX(Players!$K$2:$K$301,$AE183),""))</f>
        <v/>
      </c>
      <c r="N183" s="14">
        <f>IF($AE183="","",IFERROR(INDEX(Players!$H$2:$H$301,$AE183),""))</f>
        <v/>
      </c>
      <c r="O183" s="15">
        <f>IF($AE183="","",IFERROR(INDEX(Players!$G$2:$G$301,$AE183),""))</f>
        <v/>
      </c>
      <c r="P183" s="14">
        <f>IF($AE183="","",IFERROR(INDEX(Players!$I$2:$I$301,$AE183),""))</f>
        <v/>
      </c>
      <c r="Q183" s="14">
        <f>IF($AE183="","",IFERROR(INDEX(Players!$F$2:$F$301,$AE183),""))</f>
        <v/>
      </c>
      <c r="R183" s="14">
        <f>IF($AE183="","",IFERROR(INDEX(Players!$J$2:$J$301,$AE183),""))</f>
        <v/>
      </c>
      <c r="S183" s="15">
        <f>IF($AE183="","",IFERROR(INDEX(Players!$L$2:$L$301,$AE183),""))</f>
        <v/>
      </c>
      <c r="T183" s="14">
        <f>IF($AE183="","",IFERROR(INDEX(Players!$M$2:$M$301,$AE183),""))</f>
        <v/>
      </c>
      <c r="U183" s="14">
        <f>IF($AE183="","",IFERROR(INDEX(Players!$N$2:$N$301,$AE183),""))</f>
        <v/>
      </c>
      <c r="V183" s="14">
        <f>IF($AE183="","",IFERROR(INDEX(Players!$O$2:$O$301,$AE183),""))</f>
        <v/>
      </c>
      <c r="W183" s="14">
        <f>IF($AE183="","",IFERROR(INDEX(Players!$P$2:$P$301,$AE183),""))</f>
        <v/>
      </c>
      <c r="X183" s="14">
        <f>IF($AE183="","",IFERROR(INDEX(Players!$Q$2:$Q$301,$AE183),""))</f>
        <v/>
      </c>
      <c r="Y183" s="14">
        <f>IF($AE183="","",IFERROR(INDEX(Players!$R$2:$R$301,$AE183),""))</f>
        <v/>
      </c>
      <c r="AE183">
        <f>IFERROR(MATCH(LARGE(Players!$V$2:$V$301,179),Players!$V$2:$V$301,0),"")</f>
        <v/>
      </c>
    </row>
    <row r="184">
      <c r="A184" s="9" t="inlineStr">
        <is>
          <t>15.12</t>
        </is>
      </c>
      <c r="B184" s="18" t="inlineStr">
        <is>
          <t>Team 12</t>
        </is>
      </c>
      <c r="C184" s="19" t="n"/>
      <c r="E184" s="9" t="n">
        <v>180</v>
      </c>
      <c r="F184">
        <f>IF($AE184="","",IFERROR(INDEX(Players!$B$2:$B$301,$AE184),""))</f>
        <v/>
      </c>
      <c r="G184">
        <f>IF($AE184="","",IFERROR(INDEX(Players!$D$2:$D$301,$AE184),""))</f>
        <v/>
      </c>
      <c r="H184">
        <f>IF($AE184="","",IFERROR(INDEX(Players!$C$2:$C$301,$AE184),""))</f>
        <v/>
      </c>
      <c r="I184" s="12">
        <f>IF($AE184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-180+0.5)/3.5))))</f>
        <v/>
      </c>
      <c r="J184" s="12">
        <f>IF($AE184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-180+0.5)/3.5))))</f>
        <v/>
      </c>
      <c r="K184" s="13">
        <f>IF($AE184="","",IFERROR(INDEX(Players!$U$2:$U$301,$AE184),""))</f>
        <v/>
      </c>
      <c r="L184" s="13">
        <f>IF($AE184="","",IFERROR(INDEX(Players!$X$2:$X$301,$AE184),""))</f>
        <v/>
      </c>
      <c r="M184" s="14">
        <f>IF($AE184="","",IFERROR(INDEX(Players!$K$2:$K$301,$AE184),""))</f>
        <v/>
      </c>
      <c r="N184" s="14">
        <f>IF($AE184="","",IFERROR(INDEX(Players!$H$2:$H$301,$AE184),""))</f>
        <v/>
      </c>
      <c r="O184" s="15">
        <f>IF($AE184="","",IFERROR(INDEX(Players!$G$2:$G$301,$AE184),""))</f>
        <v/>
      </c>
      <c r="P184" s="14">
        <f>IF($AE184="","",IFERROR(INDEX(Players!$I$2:$I$301,$AE184),""))</f>
        <v/>
      </c>
      <c r="Q184" s="14">
        <f>IF($AE184="","",IFERROR(INDEX(Players!$F$2:$F$301,$AE184),""))</f>
        <v/>
      </c>
      <c r="R184" s="14">
        <f>IF($AE184="","",IFERROR(INDEX(Players!$J$2:$J$301,$AE184),""))</f>
        <v/>
      </c>
      <c r="S184" s="15">
        <f>IF($AE184="","",IFERROR(INDEX(Players!$L$2:$L$301,$AE184),""))</f>
        <v/>
      </c>
      <c r="T184" s="14">
        <f>IF($AE184="","",IFERROR(INDEX(Players!$M$2:$M$301,$AE184),""))</f>
        <v/>
      </c>
      <c r="U184" s="14">
        <f>IF($AE184="","",IFERROR(INDEX(Players!$N$2:$N$301,$AE184),""))</f>
        <v/>
      </c>
      <c r="V184" s="14">
        <f>IF($AE184="","",IFERROR(INDEX(Players!$O$2:$O$301,$AE184),""))</f>
        <v/>
      </c>
      <c r="W184" s="14">
        <f>IF($AE184="","",IFERROR(INDEX(Players!$P$2:$P$301,$AE184),""))</f>
        <v/>
      </c>
      <c r="X184" s="14">
        <f>IF($AE184="","",IFERROR(INDEX(Players!$Q$2:$Q$301,$AE184),""))</f>
        <v/>
      </c>
      <c r="Y184" s="14">
        <f>IF($AE184="","",IFERROR(INDEX(Players!$R$2:$R$301,$AE184),""))</f>
        <v/>
      </c>
      <c r="AE184">
        <f>IFERROR(MATCH(LARGE(Players!$V$2:$V$301,180),Players!$V$2:$V$301,0),"")</f>
        <v/>
      </c>
    </row>
    <row r="185">
      <c r="A185" s="9" t="inlineStr">
        <is>
          <t>16.01</t>
        </is>
      </c>
      <c r="B185" s="18" t="inlineStr">
        <is>
          <t>Team 12</t>
        </is>
      </c>
      <c r="C185" s="19" t="n"/>
      <c r="E185" s="9" t="n">
        <v>181</v>
      </c>
      <c r="F185">
        <f>IF($AE185="","",IFERROR(INDEX(Players!$B$2:$B$301,$AE185),""))</f>
        <v/>
      </c>
      <c r="G185">
        <f>IF($AE185="","",IFERROR(INDEX(Players!$D$2:$D$301,$AE185),""))</f>
        <v/>
      </c>
      <c r="H185">
        <f>IF($AE185="","",IFERROR(INDEX(Players!$C$2:$C$301,$AE185),""))</f>
        <v/>
      </c>
      <c r="I185" s="12">
        <f>IF($AE185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-181+0.5)/3.5))))</f>
        <v/>
      </c>
      <c r="J185" s="12">
        <f>IF($AE185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-181+0.5)/3.5))))</f>
        <v/>
      </c>
      <c r="K185" s="13">
        <f>IF($AE185="","",IFERROR(INDEX(Players!$U$2:$U$301,$AE185),""))</f>
        <v/>
      </c>
      <c r="L185" s="13">
        <f>IF($AE185="","",IFERROR(INDEX(Players!$X$2:$X$301,$AE185),""))</f>
        <v/>
      </c>
      <c r="M185" s="14">
        <f>IF($AE185="","",IFERROR(INDEX(Players!$K$2:$K$301,$AE185),""))</f>
        <v/>
      </c>
      <c r="N185" s="14">
        <f>IF($AE185="","",IFERROR(INDEX(Players!$H$2:$H$301,$AE185),""))</f>
        <v/>
      </c>
      <c r="O185" s="15">
        <f>IF($AE185="","",IFERROR(INDEX(Players!$G$2:$G$301,$AE185),""))</f>
        <v/>
      </c>
      <c r="P185" s="14">
        <f>IF($AE185="","",IFERROR(INDEX(Players!$I$2:$I$301,$AE185),""))</f>
        <v/>
      </c>
      <c r="Q185" s="14">
        <f>IF($AE185="","",IFERROR(INDEX(Players!$F$2:$F$301,$AE185),""))</f>
        <v/>
      </c>
      <c r="R185" s="14">
        <f>IF($AE185="","",IFERROR(INDEX(Players!$J$2:$J$301,$AE185),""))</f>
        <v/>
      </c>
      <c r="S185" s="15">
        <f>IF($AE185="","",IFERROR(INDEX(Players!$L$2:$L$301,$AE185),""))</f>
        <v/>
      </c>
      <c r="T185" s="14">
        <f>IF($AE185="","",IFERROR(INDEX(Players!$M$2:$M$301,$AE185),""))</f>
        <v/>
      </c>
      <c r="U185" s="14">
        <f>IF($AE185="","",IFERROR(INDEX(Players!$N$2:$N$301,$AE185),""))</f>
        <v/>
      </c>
      <c r="V185" s="14">
        <f>IF($AE185="","",IFERROR(INDEX(Players!$O$2:$O$301,$AE185),""))</f>
        <v/>
      </c>
      <c r="W185" s="14">
        <f>IF($AE185="","",IFERROR(INDEX(Players!$P$2:$P$301,$AE185),""))</f>
        <v/>
      </c>
      <c r="X185" s="14">
        <f>IF($AE185="","",IFERROR(INDEX(Players!$Q$2:$Q$301,$AE185),""))</f>
        <v/>
      </c>
      <c r="Y185" s="14">
        <f>IF($AE185="","",IFERROR(INDEX(Players!$R$2:$R$301,$AE185),""))</f>
        <v/>
      </c>
      <c r="AE185">
        <f>IFERROR(MATCH(LARGE(Players!$V$2:$V$301,181),Players!$V$2:$V$301,0),"")</f>
        <v/>
      </c>
    </row>
    <row r="186">
      <c r="A186" s="9" t="inlineStr">
        <is>
          <t>16.02</t>
        </is>
      </c>
      <c r="B186" s="18" t="inlineStr">
        <is>
          <t>Team 11</t>
        </is>
      </c>
      <c r="C186" s="19" t="n"/>
      <c r="E186" s="9" t="n">
        <v>182</v>
      </c>
      <c r="F186">
        <f>IF($AE186="","",IFERROR(INDEX(Players!$B$2:$B$301,$AE186),""))</f>
        <v/>
      </c>
      <c r="G186">
        <f>IF($AE186="","",IFERROR(INDEX(Players!$D$2:$D$301,$AE186),""))</f>
        <v/>
      </c>
      <c r="H186">
        <f>IF($AE186="","",IFERROR(INDEX(Players!$C$2:$C$301,$AE186),""))</f>
        <v/>
      </c>
      <c r="I186" s="12">
        <f>IF($AE186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-182+0.5)/3.5))))</f>
        <v/>
      </c>
      <c r="J186" s="12">
        <f>IF($AE186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-182+0.5)/3.5))))</f>
        <v/>
      </c>
      <c r="K186" s="13">
        <f>IF($AE186="","",IFERROR(INDEX(Players!$U$2:$U$301,$AE186),""))</f>
        <v/>
      </c>
      <c r="L186" s="13">
        <f>IF($AE186="","",IFERROR(INDEX(Players!$X$2:$X$301,$AE186),""))</f>
        <v/>
      </c>
      <c r="M186" s="14">
        <f>IF($AE186="","",IFERROR(INDEX(Players!$K$2:$K$301,$AE186),""))</f>
        <v/>
      </c>
      <c r="N186" s="14">
        <f>IF($AE186="","",IFERROR(INDEX(Players!$H$2:$H$301,$AE186),""))</f>
        <v/>
      </c>
      <c r="O186" s="15">
        <f>IF($AE186="","",IFERROR(INDEX(Players!$G$2:$G$301,$AE186),""))</f>
        <v/>
      </c>
      <c r="P186" s="14">
        <f>IF($AE186="","",IFERROR(INDEX(Players!$I$2:$I$301,$AE186),""))</f>
        <v/>
      </c>
      <c r="Q186" s="14">
        <f>IF($AE186="","",IFERROR(INDEX(Players!$F$2:$F$301,$AE186),""))</f>
        <v/>
      </c>
      <c r="R186" s="14">
        <f>IF($AE186="","",IFERROR(INDEX(Players!$J$2:$J$301,$AE186),""))</f>
        <v/>
      </c>
      <c r="S186" s="15">
        <f>IF($AE186="","",IFERROR(INDEX(Players!$L$2:$L$301,$AE186),""))</f>
        <v/>
      </c>
      <c r="T186" s="14">
        <f>IF($AE186="","",IFERROR(INDEX(Players!$M$2:$M$301,$AE186),""))</f>
        <v/>
      </c>
      <c r="U186" s="14">
        <f>IF($AE186="","",IFERROR(INDEX(Players!$N$2:$N$301,$AE186),""))</f>
        <v/>
      </c>
      <c r="V186" s="14">
        <f>IF($AE186="","",IFERROR(INDEX(Players!$O$2:$O$301,$AE186),""))</f>
        <v/>
      </c>
      <c r="W186" s="14">
        <f>IF($AE186="","",IFERROR(INDEX(Players!$P$2:$P$301,$AE186),""))</f>
        <v/>
      </c>
      <c r="X186" s="14">
        <f>IF($AE186="","",IFERROR(INDEX(Players!$Q$2:$Q$301,$AE186),""))</f>
        <v/>
      </c>
      <c r="Y186" s="14">
        <f>IF($AE186="","",IFERROR(INDEX(Players!$R$2:$R$301,$AE186),""))</f>
        <v/>
      </c>
      <c r="AE186">
        <f>IFERROR(MATCH(LARGE(Players!$V$2:$V$301,182),Players!$V$2:$V$301,0),"")</f>
        <v/>
      </c>
    </row>
    <row r="187">
      <c r="A187" s="9" t="inlineStr">
        <is>
          <t>16.03</t>
        </is>
      </c>
      <c r="B187" s="18" t="inlineStr">
        <is>
          <t>Team 10</t>
        </is>
      </c>
      <c r="C187" s="19" t="n"/>
      <c r="E187" s="9" t="n">
        <v>183</v>
      </c>
      <c r="F187">
        <f>IF($AE187="","",IFERROR(INDEX(Players!$B$2:$B$301,$AE187),""))</f>
        <v/>
      </c>
      <c r="G187">
        <f>IF($AE187="","",IFERROR(INDEX(Players!$D$2:$D$301,$AE187),""))</f>
        <v/>
      </c>
      <c r="H187">
        <f>IF($AE187="","",IFERROR(INDEX(Players!$C$2:$C$301,$AE187),""))</f>
        <v/>
      </c>
      <c r="I187" s="12">
        <f>IF($AE187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-183+0.5)/3.5))))</f>
        <v/>
      </c>
      <c r="J187" s="12">
        <f>IF($AE187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-183+0.5)/3.5))))</f>
        <v/>
      </c>
      <c r="K187" s="13">
        <f>IF($AE187="","",IFERROR(INDEX(Players!$U$2:$U$301,$AE187),""))</f>
        <v/>
      </c>
      <c r="L187" s="13">
        <f>IF($AE187="","",IFERROR(INDEX(Players!$X$2:$X$301,$AE187),""))</f>
        <v/>
      </c>
      <c r="M187" s="14">
        <f>IF($AE187="","",IFERROR(INDEX(Players!$K$2:$K$301,$AE187),""))</f>
        <v/>
      </c>
      <c r="N187" s="14">
        <f>IF($AE187="","",IFERROR(INDEX(Players!$H$2:$H$301,$AE187),""))</f>
        <v/>
      </c>
      <c r="O187" s="15">
        <f>IF($AE187="","",IFERROR(INDEX(Players!$G$2:$G$301,$AE187),""))</f>
        <v/>
      </c>
      <c r="P187" s="14">
        <f>IF($AE187="","",IFERROR(INDEX(Players!$I$2:$I$301,$AE187),""))</f>
        <v/>
      </c>
      <c r="Q187" s="14">
        <f>IF($AE187="","",IFERROR(INDEX(Players!$F$2:$F$301,$AE187),""))</f>
        <v/>
      </c>
      <c r="R187" s="14">
        <f>IF($AE187="","",IFERROR(INDEX(Players!$J$2:$J$301,$AE187),""))</f>
        <v/>
      </c>
      <c r="S187" s="15">
        <f>IF($AE187="","",IFERROR(INDEX(Players!$L$2:$L$301,$AE187),""))</f>
        <v/>
      </c>
      <c r="T187" s="14">
        <f>IF($AE187="","",IFERROR(INDEX(Players!$M$2:$M$301,$AE187),""))</f>
        <v/>
      </c>
      <c r="U187" s="14">
        <f>IF($AE187="","",IFERROR(INDEX(Players!$N$2:$N$301,$AE187),""))</f>
        <v/>
      </c>
      <c r="V187" s="14">
        <f>IF($AE187="","",IFERROR(INDEX(Players!$O$2:$O$301,$AE187),""))</f>
        <v/>
      </c>
      <c r="W187" s="14">
        <f>IF($AE187="","",IFERROR(INDEX(Players!$P$2:$P$301,$AE187),""))</f>
        <v/>
      </c>
      <c r="X187" s="14">
        <f>IF($AE187="","",IFERROR(INDEX(Players!$Q$2:$Q$301,$AE187),""))</f>
        <v/>
      </c>
      <c r="Y187" s="14">
        <f>IF($AE187="","",IFERROR(INDEX(Players!$R$2:$R$301,$AE187),""))</f>
        <v/>
      </c>
      <c r="AE187">
        <f>IFERROR(MATCH(LARGE(Players!$V$2:$V$301,183),Players!$V$2:$V$301,0),"")</f>
        <v/>
      </c>
    </row>
    <row r="188">
      <c r="A188" s="9" t="inlineStr">
        <is>
          <t>16.04</t>
        </is>
      </c>
      <c r="B188" s="18" t="inlineStr">
        <is>
          <t>Team 9</t>
        </is>
      </c>
      <c r="C188" s="19" t="n"/>
      <c r="E188" s="9" t="n">
        <v>184</v>
      </c>
      <c r="F188">
        <f>IF($AE188="","",IFERROR(INDEX(Players!$B$2:$B$301,$AE188),""))</f>
        <v/>
      </c>
      <c r="G188">
        <f>IF($AE188="","",IFERROR(INDEX(Players!$D$2:$D$301,$AE188),""))</f>
        <v/>
      </c>
      <c r="H188">
        <f>IF($AE188="","",IFERROR(INDEX(Players!$C$2:$C$301,$AE188),""))</f>
        <v/>
      </c>
      <c r="I188" s="12">
        <f>IF($AE188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-184+0.5)/3.5))))</f>
        <v/>
      </c>
      <c r="J188" s="12">
        <f>IF($AE188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-184+0.5)/3.5))))</f>
        <v/>
      </c>
      <c r="K188" s="13">
        <f>IF($AE188="","",IFERROR(INDEX(Players!$U$2:$U$301,$AE188),""))</f>
        <v/>
      </c>
      <c r="L188" s="13">
        <f>IF($AE188="","",IFERROR(INDEX(Players!$X$2:$X$301,$AE188),""))</f>
        <v/>
      </c>
      <c r="M188" s="14">
        <f>IF($AE188="","",IFERROR(INDEX(Players!$K$2:$K$301,$AE188),""))</f>
        <v/>
      </c>
      <c r="N188" s="14">
        <f>IF($AE188="","",IFERROR(INDEX(Players!$H$2:$H$301,$AE188),""))</f>
        <v/>
      </c>
      <c r="O188" s="15">
        <f>IF($AE188="","",IFERROR(INDEX(Players!$G$2:$G$301,$AE188),""))</f>
        <v/>
      </c>
      <c r="P188" s="14">
        <f>IF($AE188="","",IFERROR(INDEX(Players!$I$2:$I$301,$AE188),""))</f>
        <v/>
      </c>
      <c r="Q188" s="14">
        <f>IF($AE188="","",IFERROR(INDEX(Players!$F$2:$F$301,$AE188),""))</f>
        <v/>
      </c>
      <c r="R188" s="14">
        <f>IF($AE188="","",IFERROR(INDEX(Players!$J$2:$J$301,$AE188),""))</f>
        <v/>
      </c>
      <c r="S188" s="15">
        <f>IF($AE188="","",IFERROR(INDEX(Players!$L$2:$L$301,$AE188),""))</f>
        <v/>
      </c>
      <c r="T188" s="14">
        <f>IF($AE188="","",IFERROR(INDEX(Players!$M$2:$M$301,$AE188),""))</f>
        <v/>
      </c>
      <c r="U188" s="14">
        <f>IF($AE188="","",IFERROR(INDEX(Players!$N$2:$N$301,$AE188),""))</f>
        <v/>
      </c>
      <c r="V188" s="14">
        <f>IF($AE188="","",IFERROR(INDEX(Players!$O$2:$O$301,$AE188),""))</f>
        <v/>
      </c>
      <c r="W188" s="14">
        <f>IF($AE188="","",IFERROR(INDEX(Players!$P$2:$P$301,$AE188),""))</f>
        <v/>
      </c>
      <c r="X188" s="14">
        <f>IF($AE188="","",IFERROR(INDEX(Players!$Q$2:$Q$301,$AE188),""))</f>
        <v/>
      </c>
      <c r="Y188" s="14">
        <f>IF($AE188="","",IFERROR(INDEX(Players!$R$2:$R$301,$AE188),""))</f>
        <v/>
      </c>
      <c r="AE188">
        <f>IFERROR(MATCH(LARGE(Players!$V$2:$V$301,184),Players!$V$2:$V$301,0),"")</f>
        <v/>
      </c>
    </row>
    <row r="189">
      <c r="A189" s="9" t="inlineStr">
        <is>
          <t>16.05</t>
        </is>
      </c>
      <c r="B189" s="18" t="inlineStr">
        <is>
          <t>Team 8</t>
        </is>
      </c>
      <c r="C189" s="19" t="n"/>
      <c r="E189" s="9" t="n">
        <v>185</v>
      </c>
      <c r="F189">
        <f>IF($AE189="","",IFERROR(INDEX(Players!$B$2:$B$301,$AE189),""))</f>
        <v/>
      </c>
      <c r="G189">
        <f>IF($AE189="","",IFERROR(INDEX(Players!$D$2:$D$301,$AE189),""))</f>
        <v/>
      </c>
      <c r="H189">
        <f>IF($AE189="","",IFERROR(INDEX(Players!$C$2:$C$301,$AE189),""))</f>
        <v/>
      </c>
      <c r="I189" s="12">
        <f>IF($AE189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-185+0.5)/3.5))))</f>
        <v/>
      </c>
      <c r="J189" s="12">
        <f>IF($AE189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-185+0.5)/3.5))))</f>
        <v/>
      </c>
      <c r="K189" s="13">
        <f>IF($AE189="","",IFERROR(INDEX(Players!$U$2:$U$301,$AE189),""))</f>
        <v/>
      </c>
      <c r="L189" s="13">
        <f>IF($AE189="","",IFERROR(INDEX(Players!$X$2:$X$301,$AE189),""))</f>
        <v/>
      </c>
      <c r="M189" s="14">
        <f>IF($AE189="","",IFERROR(INDEX(Players!$K$2:$K$301,$AE189),""))</f>
        <v/>
      </c>
      <c r="N189" s="14">
        <f>IF($AE189="","",IFERROR(INDEX(Players!$H$2:$H$301,$AE189),""))</f>
        <v/>
      </c>
      <c r="O189" s="15">
        <f>IF($AE189="","",IFERROR(INDEX(Players!$G$2:$G$301,$AE189),""))</f>
        <v/>
      </c>
      <c r="P189" s="14">
        <f>IF($AE189="","",IFERROR(INDEX(Players!$I$2:$I$301,$AE189),""))</f>
        <v/>
      </c>
      <c r="Q189" s="14">
        <f>IF($AE189="","",IFERROR(INDEX(Players!$F$2:$F$301,$AE189),""))</f>
        <v/>
      </c>
      <c r="R189" s="14">
        <f>IF($AE189="","",IFERROR(INDEX(Players!$J$2:$J$301,$AE189),""))</f>
        <v/>
      </c>
      <c r="S189" s="15">
        <f>IF($AE189="","",IFERROR(INDEX(Players!$L$2:$L$301,$AE189),""))</f>
        <v/>
      </c>
      <c r="T189" s="14">
        <f>IF($AE189="","",IFERROR(INDEX(Players!$M$2:$M$301,$AE189),""))</f>
        <v/>
      </c>
      <c r="U189" s="14">
        <f>IF($AE189="","",IFERROR(INDEX(Players!$N$2:$N$301,$AE189),""))</f>
        <v/>
      </c>
      <c r="V189" s="14">
        <f>IF($AE189="","",IFERROR(INDEX(Players!$O$2:$O$301,$AE189),""))</f>
        <v/>
      </c>
      <c r="W189" s="14">
        <f>IF($AE189="","",IFERROR(INDEX(Players!$P$2:$P$301,$AE189),""))</f>
        <v/>
      </c>
      <c r="X189" s="14">
        <f>IF($AE189="","",IFERROR(INDEX(Players!$Q$2:$Q$301,$AE189),""))</f>
        <v/>
      </c>
      <c r="Y189" s="14">
        <f>IF($AE189="","",IFERROR(INDEX(Players!$R$2:$R$301,$AE189),""))</f>
        <v/>
      </c>
      <c r="AE189">
        <f>IFERROR(MATCH(LARGE(Players!$V$2:$V$301,185),Players!$V$2:$V$301,0),"")</f>
        <v/>
      </c>
    </row>
    <row r="190">
      <c r="A190" s="9" t="inlineStr">
        <is>
          <t>16.06</t>
        </is>
      </c>
      <c r="B190" s="18" t="inlineStr">
        <is>
          <t>Team 7</t>
        </is>
      </c>
      <c r="C190" s="19" t="n"/>
      <c r="E190" s="9" t="n">
        <v>186</v>
      </c>
      <c r="F190">
        <f>IF($AE190="","",IFERROR(INDEX(Players!$B$2:$B$301,$AE190),""))</f>
        <v/>
      </c>
      <c r="G190">
        <f>IF($AE190="","",IFERROR(INDEX(Players!$D$2:$D$301,$AE190),""))</f>
        <v/>
      </c>
      <c r="H190">
        <f>IF($AE190="","",IFERROR(INDEX(Players!$C$2:$C$301,$AE190),""))</f>
        <v/>
      </c>
      <c r="I190" s="12">
        <f>IF($AE190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-186+0.5)/3.5))))</f>
        <v/>
      </c>
      <c r="J190" s="12">
        <f>IF($AE190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-186+0.5)/3.5))))</f>
        <v/>
      </c>
      <c r="K190" s="13">
        <f>IF($AE190="","",IFERROR(INDEX(Players!$U$2:$U$301,$AE190),""))</f>
        <v/>
      </c>
      <c r="L190" s="13">
        <f>IF($AE190="","",IFERROR(INDEX(Players!$X$2:$X$301,$AE190),""))</f>
        <v/>
      </c>
      <c r="M190" s="14">
        <f>IF($AE190="","",IFERROR(INDEX(Players!$K$2:$K$301,$AE190),""))</f>
        <v/>
      </c>
      <c r="N190" s="14">
        <f>IF($AE190="","",IFERROR(INDEX(Players!$H$2:$H$301,$AE190),""))</f>
        <v/>
      </c>
      <c r="O190" s="15">
        <f>IF($AE190="","",IFERROR(INDEX(Players!$G$2:$G$301,$AE190),""))</f>
        <v/>
      </c>
      <c r="P190" s="14">
        <f>IF($AE190="","",IFERROR(INDEX(Players!$I$2:$I$301,$AE190),""))</f>
        <v/>
      </c>
      <c r="Q190" s="14">
        <f>IF($AE190="","",IFERROR(INDEX(Players!$F$2:$F$301,$AE190),""))</f>
        <v/>
      </c>
      <c r="R190" s="14">
        <f>IF($AE190="","",IFERROR(INDEX(Players!$J$2:$J$301,$AE190),""))</f>
        <v/>
      </c>
      <c r="S190" s="15">
        <f>IF($AE190="","",IFERROR(INDEX(Players!$L$2:$L$301,$AE190),""))</f>
        <v/>
      </c>
      <c r="T190" s="14">
        <f>IF($AE190="","",IFERROR(INDEX(Players!$M$2:$M$301,$AE190),""))</f>
        <v/>
      </c>
      <c r="U190" s="14">
        <f>IF($AE190="","",IFERROR(INDEX(Players!$N$2:$N$301,$AE190),""))</f>
        <v/>
      </c>
      <c r="V190" s="14">
        <f>IF($AE190="","",IFERROR(INDEX(Players!$O$2:$O$301,$AE190),""))</f>
        <v/>
      </c>
      <c r="W190" s="14">
        <f>IF($AE190="","",IFERROR(INDEX(Players!$P$2:$P$301,$AE190),""))</f>
        <v/>
      </c>
      <c r="X190" s="14">
        <f>IF($AE190="","",IFERROR(INDEX(Players!$Q$2:$Q$301,$AE190),""))</f>
        <v/>
      </c>
      <c r="Y190" s="14">
        <f>IF($AE190="","",IFERROR(INDEX(Players!$R$2:$R$301,$AE190),""))</f>
        <v/>
      </c>
      <c r="AE190">
        <f>IFERROR(MATCH(LARGE(Players!$V$2:$V$301,186),Players!$V$2:$V$301,0),"")</f>
        <v/>
      </c>
    </row>
    <row r="191">
      <c r="A191" s="9" t="inlineStr">
        <is>
          <t>16.07</t>
        </is>
      </c>
      <c r="B191" s="18" t="inlineStr">
        <is>
          <t>Team 6</t>
        </is>
      </c>
      <c r="C191" s="19" t="n"/>
      <c r="E191" s="9" t="n">
        <v>187</v>
      </c>
      <c r="F191">
        <f>IF($AE191="","",IFERROR(INDEX(Players!$B$2:$B$301,$AE191),""))</f>
        <v/>
      </c>
      <c r="G191">
        <f>IF($AE191="","",IFERROR(INDEX(Players!$D$2:$D$301,$AE191),""))</f>
        <v/>
      </c>
      <c r="H191">
        <f>IF($AE191="","",IFERROR(INDEX(Players!$C$2:$C$301,$AE191),""))</f>
        <v/>
      </c>
      <c r="I191" s="12">
        <f>IF($AE191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-187+0.5)/3.5))))</f>
        <v/>
      </c>
      <c r="J191" s="12">
        <f>IF($AE191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-187+0.5)/3.5))))</f>
        <v/>
      </c>
      <c r="K191" s="13">
        <f>IF($AE191="","",IFERROR(INDEX(Players!$U$2:$U$301,$AE191),""))</f>
        <v/>
      </c>
      <c r="L191" s="13">
        <f>IF($AE191="","",IFERROR(INDEX(Players!$X$2:$X$301,$AE191),""))</f>
        <v/>
      </c>
      <c r="M191" s="14">
        <f>IF($AE191="","",IFERROR(INDEX(Players!$K$2:$K$301,$AE191),""))</f>
        <v/>
      </c>
      <c r="N191" s="14">
        <f>IF($AE191="","",IFERROR(INDEX(Players!$H$2:$H$301,$AE191),""))</f>
        <v/>
      </c>
      <c r="O191" s="15">
        <f>IF($AE191="","",IFERROR(INDEX(Players!$G$2:$G$301,$AE191),""))</f>
        <v/>
      </c>
      <c r="P191" s="14">
        <f>IF($AE191="","",IFERROR(INDEX(Players!$I$2:$I$301,$AE191),""))</f>
        <v/>
      </c>
      <c r="Q191" s="14">
        <f>IF($AE191="","",IFERROR(INDEX(Players!$F$2:$F$301,$AE191),""))</f>
        <v/>
      </c>
      <c r="R191" s="14">
        <f>IF($AE191="","",IFERROR(INDEX(Players!$J$2:$J$301,$AE191),""))</f>
        <v/>
      </c>
      <c r="S191" s="15">
        <f>IF($AE191="","",IFERROR(INDEX(Players!$L$2:$L$301,$AE191),""))</f>
        <v/>
      </c>
      <c r="T191" s="14">
        <f>IF($AE191="","",IFERROR(INDEX(Players!$M$2:$M$301,$AE191),""))</f>
        <v/>
      </c>
      <c r="U191" s="14">
        <f>IF($AE191="","",IFERROR(INDEX(Players!$N$2:$N$301,$AE191),""))</f>
        <v/>
      </c>
      <c r="V191" s="14">
        <f>IF($AE191="","",IFERROR(INDEX(Players!$O$2:$O$301,$AE191),""))</f>
        <v/>
      </c>
      <c r="W191" s="14">
        <f>IF($AE191="","",IFERROR(INDEX(Players!$P$2:$P$301,$AE191),""))</f>
        <v/>
      </c>
      <c r="X191" s="14">
        <f>IF($AE191="","",IFERROR(INDEX(Players!$Q$2:$Q$301,$AE191),""))</f>
        <v/>
      </c>
      <c r="Y191" s="14">
        <f>IF($AE191="","",IFERROR(INDEX(Players!$R$2:$R$301,$AE191),""))</f>
        <v/>
      </c>
      <c r="AE191">
        <f>IFERROR(MATCH(LARGE(Players!$V$2:$V$301,187),Players!$V$2:$V$301,0),"")</f>
        <v/>
      </c>
    </row>
    <row r="192">
      <c r="A192" s="9" t="inlineStr">
        <is>
          <t>16.08</t>
        </is>
      </c>
      <c r="B192" s="18" t="inlineStr">
        <is>
          <t>Team 5</t>
        </is>
      </c>
      <c r="C192" s="19" t="n"/>
      <c r="E192" s="9" t="n">
        <v>188</v>
      </c>
      <c r="F192">
        <f>IF($AE192="","",IFERROR(INDEX(Players!$B$2:$B$301,$AE192),""))</f>
        <v/>
      </c>
      <c r="G192">
        <f>IF($AE192="","",IFERROR(INDEX(Players!$D$2:$D$301,$AE192),""))</f>
        <v/>
      </c>
      <c r="H192">
        <f>IF($AE192="","",IFERROR(INDEX(Players!$C$2:$C$301,$AE192),""))</f>
        <v/>
      </c>
      <c r="I192" s="12">
        <f>IF($AE192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-188+0.5)/3.5))))</f>
        <v/>
      </c>
      <c r="J192" s="12">
        <f>IF($AE192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-188+0.5)/3.5))))</f>
        <v/>
      </c>
      <c r="K192" s="13">
        <f>IF($AE192="","",IFERROR(INDEX(Players!$U$2:$U$301,$AE192),""))</f>
        <v/>
      </c>
      <c r="L192" s="13">
        <f>IF($AE192="","",IFERROR(INDEX(Players!$X$2:$X$301,$AE192),""))</f>
        <v/>
      </c>
      <c r="M192" s="14">
        <f>IF($AE192="","",IFERROR(INDEX(Players!$K$2:$K$301,$AE192),""))</f>
        <v/>
      </c>
      <c r="N192" s="14">
        <f>IF($AE192="","",IFERROR(INDEX(Players!$H$2:$H$301,$AE192),""))</f>
        <v/>
      </c>
      <c r="O192" s="15">
        <f>IF($AE192="","",IFERROR(INDEX(Players!$G$2:$G$301,$AE192),""))</f>
        <v/>
      </c>
      <c r="P192" s="14">
        <f>IF($AE192="","",IFERROR(INDEX(Players!$I$2:$I$301,$AE192),""))</f>
        <v/>
      </c>
      <c r="Q192" s="14">
        <f>IF($AE192="","",IFERROR(INDEX(Players!$F$2:$F$301,$AE192),""))</f>
        <v/>
      </c>
      <c r="R192" s="14">
        <f>IF($AE192="","",IFERROR(INDEX(Players!$J$2:$J$301,$AE192),""))</f>
        <v/>
      </c>
      <c r="S192" s="15">
        <f>IF($AE192="","",IFERROR(INDEX(Players!$L$2:$L$301,$AE192),""))</f>
        <v/>
      </c>
      <c r="T192" s="14">
        <f>IF($AE192="","",IFERROR(INDEX(Players!$M$2:$M$301,$AE192),""))</f>
        <v/>
      </c>
      <c r="U192" s="14">
        <f>IF($AE192="","",IFERROR(INDEX(Players!$N$2:$N$301,$AE192),""))</f>
        <v/>
      </c>
      <c r="V192" s="14">
        <f>IF($AE192="","",IFERROR(INDEX(Players!$O$2:$O$301,$AE192),""))</f>
        <v/>
      </c>
      <c r="W192" s="14">
        <f>IF($AE192="","",IFERROR(INDEX(Players!$P$2:$P$301,$AE192),""))</f>
        <v/>
      </c>
      <c r="X192" s="14">
        <f>IF($AE192="","",IFERROR(INDEX(Players!$Q$2:$Q$301,$AE192),""))</f>
        <v/>
      </c>
      <c r="Y192" s="14">
        <f>IF($AE192="","",IFERROR(INDEX(Players!$R$2:$R$301,$AE192),""))</f>
        <v/>
      </c>
      <c r="AE192">
        <f>IFERROR(MATCH(LARGE(Players!$V$2:$V$301,188),Players!$V$2:$V$301,0),"")</f>
        <v/>
      </c>
    </row>
    <row r="193">
      <c r="A193" s="9" t="inlineStr">
        <is>
          <t>16.09</t>
        </is>
      </c>
      <c r="B193" s="18" t="inlineStr">
        <is>
          <t>Team 4</t>
        </is>
      </c>
      <c r="C193" s="19" t="n"/>
      <c r="E193" s="9" t="n">
        <v>189</v>
      </c>
      <c r="F193">
        <f>IF($AE193="","",IFERROR(INDEX(Players!$B$2:$B$301,$AE193),""))</f>
        <v/>
      </c>
      <c r="G193">
        <f>IF($AE193="","",IFERROR(INDEX(Players!$D$2:$D$301,$AE193),""))</f>
        <v/>
      </c>
      <c r="H193">
        <f>IF($AE193="","",IFERROR(INDEX(Players!$C$2:$C$301,$AE193),""))</f>
        <v/>
      </c>
      <c r="I193" s="12">
        <f>IF($AE193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-189+0.5)/3.5))))</f>
        <v/>
      </c>
      <c r="J193" s="12">
        <f>IF($AE193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-189+0.5)/3.5))))</f>
        <v/>
      </c>
      <c r="K193" s="13">
        <f>IF($AE193="","",IFERROR(INDEX(Players!$U$2:$U$301,$AE193),""))</f>
        <v/>
      </c>
      <c r="L193" s="13">
        <f>IF($AE193="","",IFERROR(INDEX(Players!$X$2:$X$301,$AE193),""))</f>
        <v/>
      </c>
      <c r="M193" s="14">
        <f>IF($AE193="","",IFERROR(INDEX(Players!$K$2:$K$301,$AE193),""))</f>
        <v/>
      </c>
      <c r="N193" s="14">
        <f>IF($AE193="","",IFERROR(INDEX(Players!$H$2:$H$301,$AE193),""))</f>
        <v/>
      </c>
      <c r="O193" s="15">
        <f>IF($AE193="","",IFERROR(INDEX(Players!$G$2:$G$301,$AE193),""))</f>
        <v/>
      </c>
      <c r="P193" s="14">
        <f>IF($AE193="","",IFERROR(INDEX(Players!$I$2:$I$301,$AE193),""))</f>
        <v/>
      </c>
      <c r="Q193" s="14">
        <f>IF($AE193="","",IFERROR(INDEX(Players!$F$2:$F$301,$AE193),""))</f>
        <v/>
      </c>
      <c r="R193" s="14">
        <f>IF($AE193="","",IFERROR(INDEX(Players!$J$2:$J$301,$AE193),""))</f>
        <v/>
      </c>
      <c r="S193" s="15">
        <f>IF($AE193="","",IFERROR(INDEX(Players!$L$2:$L$301,$AE193),""))</f>
        <v/>
      </c>
      <c r="T193" s="14">
        <f>IF($AE193="","",IFERROR(INDEX(Players!$M$2:$M$301,$AE193),""))</f>
        <v/>
      </c>
      <c r="U193" s="14">
        <f>IF($AE193="","",IFERROR(INDEX(Players!$N$2:$N$301,$AE193),""))</f>
        <v/>
      </c>
      <c r="V193" s="14">
        <f>IF($AE193="","",IFERROR(INDEX(Players!$O$2:$O$301,$AE193),""))</f>
        <v/>
      </c>
      <c r="W193" s="14">
        <f>IF($AE193="","",IFERROR(INDEX(Players!$P$2:$P$301,$AE193),""))</f>
        <v/>
      </c>
      <c r="X193" s="14">
        <f>IF($AE193="","",IFERROR(INDEX(Players!$Q$2:$Q$301,$AE193),""))</f>
        <v/>
      </c>
      <c r="Y193" s="14">
        <f>IF($AE193="","",IFERROR(INDEX(Players!$R$2:$R$301,$AE193),""))</f>
        <v/>
      </c>
      <c r="AE193">
        <f>IFERROR(MATCH(LARGE(Players!$V$2:$V$301,189),Players!$V$2:$V$301,0),"")</f>
        <v/>
      </c>
    </row>
    <row r="194">
      <c r="A194" s="9" t="inlineStr">
        <is>
          <t>16.10</t>
        </is>
      </c>
      <c r="B194" s="18" t="inlineStr">
        <is>
          <t>Team 3</t>
        </is>
      </c>
      <c r="C194" s="19" t="n"/>
      <c r="E194" s="9" t="n">
        <v>190</v>
      </c>
      <c r="F194">
        <f>IF($AE194="","",IFERROR(INDEX(Players!$B$2:$B$301,$AE194),""))</f>
        <v/>
      </c>
      <c r="G194">
        <f>IF($AE194="","",IFERROR(INDEX(Players!$D$2:$D$301,$AE194),""))</f>
        <v/>
      </c>
      <c r="H194">
        <f>IF($AE194="","",IFERROR(INDEX(Players!$C$2:$C$301,$AE194),""))</f>
        <v/>
      </c>
      <c r="I194" s="12">
        <f>IF($AE194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-190+0.5)/3.5))))</f>
        <v/>
      </c>
      <c r="J194" s="12">
        <f>IF($AE194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-190+0.5)/3.5))))</f>
        <v/>
      </c>
      <c r="K194" s="13">
        <f>IF($AE194="","",IFERROR(INDEX(Players!$U$2:$U$301,$AE194),""))</f>
        <v/>
      </c>
      <c r="L194" s="13">
        <f>IF($AE194="","",IFERROR(INDEX(Players!$X$2:$X$301,$AE194),""))</f>
        <v/>
      </c>
      <c r="M194" s="14">
        <f>IF($AE194="","",IFERROR(INDEX(Players!$K$2:$K$301,$AE194),""))</f>
        <v/>
      </c>
      <c r="N194" s="14">
        <f>IF($AE194="","",IFERROR(INDEX(Players!$H$2:$H$301,$AE194),""))</f>
        <v/>
      </c>
      <c r="O194" s="15">
        <f>IF($AE194="","",IFERROR(INDEX(Players!$G$2:$G$301,$AE194),""))</f>
        <v/>
      </c>
      <c r="P194" s="14">
        <f>IF($AE194="","",IFERROR(INDEX(Players!$I$2:$I$301,$AE194),""))</f>
        <v/>
      </c>
      <c r="Q194" s="14">
        <f>IF($AE194="","",IFERROR(INDEX(Players!$F$2:$F$301,$AE194),""))</f>
        <v/>
      </c>
      <c r="R194" s="14">
        <f>IF($AE194="","",IFERROR(INDEX(Players!$J$2:$J$301,$AE194),""))</f>
        <v/>
      </c>
      <c r="S194" s="15">
        <f>IF($AE194="","",IFERROR(INDEX(Players!$L$2:$L$301,$AE194),""))</f>
        <v/>
      </c>
      <c r="T194" s="14">
        <f>IF($AE194="","",IFERROR(INDEX(Players!$M$2:$M$301,$AE194),""))</f>
        <v/>
      </c>
      <c r="U194" s="14">
        <f>IF($AE194="","",IFERROR(INDEX(Players!$N$2:$N$301,$AE194),""))</f>
        <v/>
      </c>
      <c r="V194" s="14">
        <f>IF($AE194="","",IFERROR(INDEX(Players!$O$2:$O$301,$AE194),""))</f>
        <v/>
      </c>
      <c r="W194" s="14">
        <f>IF($AE194="","",IFERROR(INDEX(Players!$P$2:$P$301,$AE194),""))</f>
        <v/>
      </c>
      <c r="X194" s="14">
        <f>IF($AE194="","",IFERROR(INDEX(Players!$Q$2:$Q$301,$AE194),""))</f>
        <v/>
      </c>
      <c r="Y194" s="14">
        <f>IF($AE194="","",IFERROR(INDEX(Players!$R$2:$R$301,$AE194),""))</f>
        <v/>
      </c>
      <c r="AE194">
        <f>IFERROR(MATCH(LARGE(Players!$V$2:$V$301,190),Players!$V$2:$V$301,0),"")</f>
        <v/>
      </c>
    </row>
    <row r="195">
      <c r="A195" s="9" t="inlineStr">
        <is>
          <t>16.11</t>
        </is>
      </c>
      <c r="B195" s="18" t="inlineStr">
        <is>
          <t>Team 2</t>
        </is>
      </c>
      <c r="C195" s="19" t="n"/>
      <c r="E195" s="9" t="n">
        <v>191</v>
      </c>
      <c r="F195">
        <f>IF($AE195="","",IFERROR(INDEX(Players!$B$2:$B$301,$AE195),""))</f>
        <v/>
      </c>
      <c r="G195">
        <f>IF($AE195="","",IFERROR(INDEX(Players!$D$2:$D$301,$AE195),""))</f>
        <v/>
      </c>
      <c r="H195">
        <f>IF($AE195="","",IFERROR(INDEX(Players!$C$2:$C$301,$AE195),""))</f>
        <v/>
      </c>
      <c r="I195" s="12">
        <f>IF($AE195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-191+0.5)/3.5))))</f>
        <v/>
      </c>
      <c r="J195" s="12">
        <f>IF($AE195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-191+0.5)/3.5))))</f>
        <v/>
      </c>
      <c r="K195" s="13">
        <f>IF($AE195="","",IFERROR(INDEX(Players!$U$2:$U$301,$AE195),""))</f>
        <v/>
      </c>
      <c r="L195" s="13">
        <f>IF($AE195="","",IFERROR(INDEX(Players!$X$2:$X$301,$AE195),""))</f>
        <v/>
      </c>
      <c r="M195" s="14">
        <f>IF($AE195="","",IFERROR(INDEX(Players!$K$2:$K$301,$AE195),""))</f>
        <v/>
      </c>
      <c r="N195" s="14">
        <f>IF($AE195="","",IFERROR(INDEX(Players!$H$2:$H$301,$AE195),""))</f>
        <v/>
      </c>
      <c r="O195" s="15">
        <f>IF($AE195="","",IFERROR(INDEX(Players!$G$2:$G$301,$AE195),""))</f>
        <v/>
      </c>
      <c r="P195" s="14">
        <f>IF($AE195="","",IFERROR(INDEX(Players!$I$2:$I$301,$AE195),""))</f>
        <v/>
      </c>
      <c r="Q195" s="14">
        <f>IF($AE195="","",IFERROR(INDEX(Players!$F$2:$F$301,$AE195),""))</f>
        <v/>
      </c>
      <c r="R195" s="14">
        <f>IF($AE195="","",IFERROR(INDEX(Players!$J$2:$J$301,$AE195),""))</f>
        <v/>
      </c>
      <c r="S195" s="15">
        <f>IF($AE195="","",IFERROR(INDEX(Players!$L$2:$L$301,$AE195),""))</f>
        <v/>
      </c>
      <c r="T195" s="14">
        <f>IF($AE195="","",IFERROR(INDEX(Players!$M$2:$M$301,$AE195),""))</f>
        <v/>
      </c>
      <c r="U195" s="14">
        <f>IF($AE195="","",IFERROR(INDEX(Players!$N$2:$N$301,$AE195),""))</f>
        <v/>
      </c>
      <c r="V195" s="14">
        <f>IF($AE195="","",IFERROR(INDEX(Players!$O$2:$O$301,$AE195),""))</f>
        <v/>
      </c>
      <c r="W195" s="14">
        <f>IF($AE195="","",IFERROR(INDEX(Players!$P$2:$P$301,$AE195),""))</f>
        <v/>
      </c>
      <c r="X195" s="14">
        <f>IF($AE195="","",IFERROR(INDEX(Players!$Q$2:$Q$301,$AE195),""))</f>
        <v/>
      </c>
      <c r="Y195" s="14">
        <f>IF($AE195="","",IFERROR(INDEX(Players!$R$2:$R$301,$AE195),""))</f>
        <v/>
      </c>
      <c r="AE195">
        <f>IFERROR(MATCH(LARGE(Players!$V$2:$V$301,191),Players!$V$2:$V$301,0),"")</f>
        <v/>
      </c>
    </row>
    <row r="196">
      <c r="A196" s="9" t="inlineStr">
        <is>
          <t>16.12</t>
        </is>
      </c>
      <c r="B196" s="10" t="inlineStr">
        <is>
          <t>Team 1</t>
        </is>
      </c>
      <c r="C196" s="11" t="n"/>
      <c r="E196" s="9" t="n">
        <v>192</v>
      </c>
      <c r="F196">
        <f>IF($AE196="","",IFERROR(INDEX(Players!$B$2:$B$301,$AE196),""))</f>
        <v/>
      </c>
      <c r="G196">
        <f>IF($AE196="","",IFERROR(INDEX(Players!$D$2:$D$301,$AE196),""))</f>
        <v/>
      </c>
      <c r="H196">
        <f>IF($AE196="","",IFERROR(INDEX(Players!$C$2:$C$301,$AE196),""))</f>
        <v/>
      </c>
      <c r="I196" s="12">
        <f>IF($AE196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-192+0.5)/3.5))))</f>
        <v/>
      </c>
      <c r="J196" s="12">
        <f>IF($AE196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-192+0.5)/3.5))))</f>
        <v/>
      </c>
      <c r="K196" s="13">
        <f>IF($AE196="","",IFERROR(INDEX(Players!$U$2:$U$301,$AE196),""))</f>
        <v/>
      </c>
      <c r="L196" s="13">
        <f>IF($AE196="","",IFERROR(INDEX(Players!$X$2:$X$301,$AE196),""))</f>
        <v/>
      </c>
      <c r="M196" s="14">
        <f>IF($AE196="","",IFERROR(INDEX(Players!$K$2:$K$301,$AE196),""))</f>
        <v/>
      </c>
      <c r="N196" s="14">
        <f>IF($AE196="","",IFERROR(INDEX(Players!$H$2:$H$301,$AE196),""))</f>
        <v/>
      </c>
      <c r="O196" s="15">
        <f>IF($AE196="","",IFERROR(INDEX(Players!$G$2:$G$301,$AE196),""))</f>
        <v/>
      </c>
      <c r="P196" s="14">
        <f>IF($AE196="","",IFERROR(INDEX(Players!$I$2:$I$301,$AE196),""))</f>
        <v/>
      </c>
      <c r="Q196" s="14">
        <f>IF($AE196="","",IFERROR(INDEX(Players!$F$2:$F$301,$AE196),""))</f>
        <v/>
      </c>
      <c r="R196" s="14">
        <f>IF($AE196="","",IFERROR(INDEX(Players!$J$2:$J$301,$AE196),""))</f>
        <v/>
      </c>
      <c r="S196" s="15">
        <f>IF($AE196="","",IFERROR(INDEX(Players!$L$2:$L$301,$AE196),""))</f>
        <v/>
      </c>
      <c r="T196" s="14">
        <f>IF($AE196="","",IFERROR(INDEX(Players!$M$2:$M$301,$AE196),""))</f>
        <v/>
      </c>
      <c r="U196" s="14">
        <f>IF($AE196="","",IFERROR(INDEX(Players!$N$2:$N$301,$AE196),""))</f>
        <v/>
      </c>
      <c r="V196" s="14">
        <f>IF($AE196="","",IFERROR(INDEX(Players!$O$2:$O$301,$AE196),""))</f>
        <v/>
      </c>
      <c r="W196" s="14">
        <f>IF($AE196="","",IFERROR(INDEX(Players!$P$2:$P$301,$AE196),""))</f>
        <v/>
      </c>
      <c r="X196" s="14">
        <f>IF($AE196="","",IFERROR(INDEX(Players!$Q$2:$Q$301,$AE196),""))</f>
        <v/>
      </c>
      <c r="Y196" s="14">
        <f>IF($AE196="","",IFERROR(INDEX(Players!$R$2:$R$301,$AE196),""))</f>
        <v/>
      </c>
      <c r="AE196">
        <f>IFERROR(MATCH(LARGE(Players!$V$2:$V$301,192),Players!$V$2:$V$301,0),"")</f>
        <v/>
      </c>
    </row>
    <row r="197">
      <c r="E197" s="9" t="n">
        <v>193</v>
      </c>
      <c r="F197">
        <f>IF($AE197="","",IFERROR(INDEX(Players!$B$2:$B$301,$AE197),""))</f>
        <v/>
      </c>
      <c r="G197">
        <f>IF($AE197="","",IFERROR(INDEX(Players!$D$2:$D$301,$AE197),""))</f>
        <v/>
      </c>
      <c r="H197">
        <f>IF($AE197="","",IFERROR(INDEX(Players!$C$2:$C$301,$AE197),""))</f>
        <v/>
      </c>
      <c r="I197" s="12">
        <f>IF($AE197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-193+0.5)/3.5))))</f>
        <v/>
      </c>
      <c r="J197" s="12">
        <f>IF($AE197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-193+0.5)/3.5))))</f>
        <v/>
      </c>
      <c r="K197" s="13">
        <f>IF($AE197="","",IFERROR(INDEX(Players!$U$2:$U$301,$AE197),""))</f>
        <v/>
      </c>
      <c r="L197" s="13">
        <f>IF($AE197="","",IFERROR(INDEX(Players!$X$2:$X$301,$AE197),""))</f>
        <v/>
      </c>
      <c r="M197" s="14">
        <f>IF($AE197="","",IFERROR(INDEX(Players!$K$2:$K$301,$AE197),""))</f>
        <v/>
      </c>
      <c r="N197" s="14">
        <f>IF($AE197="","",IFERROR(INDEX(Players!$H$2:$H$301,$AE197),""))</f>
        <v/>
      </c>
      <c r="O197" s="15">
        <f>IF($AE197="","",IFERROR(INDEX(Players!$G$2:$G$301,$AE197),""))</f>
        <v/>
      </c>
      <c r="P197" s="14">
        <f>IF($AE197="","",IFERROR(INDEX(Players!$I$2:$I$301,$AE197),""))</f>
        <v/>
      </c>
      <c r="Q197" s="14">
        <f>IF($AE197="","",IFERROR(INDEX(Players!$F$2:$F$301,$AE197),""))</f>
        <v/>
      </c>
      <c r="R197" s="14">
        <f>IF($AE197="","",IFERROR(INDEX(Players!$J$2:$J$301,$AE197),""))</f>
        <v/>
      </c>
      <c r="S197" s="15">
        <f>IF($AE197="","",IFERROR(INDEX(Players!$L$2:$L$301,$AE197),""))</f>
        <v/>
      </c>
      <c r="T197" s="14">
        <f>IF($AE197="","",IFERROR(INDEX(Players!$M$2:$M$301,$AE197),""))</f>
        <v/>
      </c>
      <c r="U197" s="14">
        <f>IF($AE197="","",IFERROR(INDEX(Players!$N$2:$N$301,$AE197),""))</f>
        <v/>
      </c>
      <c r="V197" s="14">
        <f>IF($AE197="","",IFERROR(INDEX(Players!$O$2:$O$301,$AE197),""))</f>
        <v/>
      </c>
      <c r="W197" s="14">
        <f>IF($AE197="","",IFERROR(INDEX(Players!$P$2:$P$301,$AE197),""))</f>
        <v/>
      </c>
      <c r="X197" s="14">
        <f>IF($AE197="","",IFERROR(INDEX(Players!$Q$2:$Q$301,$AE197),""))</f>
        <v/>
      </c>
      <c r="Y197" s="14">
        <f>IF($AE197="","",IFERROR(INDEX(Players!$R$2:$R$301,$AE197),""))</f>
        <v/>
      </c>
      <c r="AE197">
        <f>IFERROR(MATCH(LARGE(Players!$V$2:$V$301,193),Players!$V$2:$V$301,0),"")</f>
        <v/>
      </c>
    </row>
    <row r="198">
      <c r="E198" s="9" t="n">
        <v>194</v>
      </c>
      <c r="F198">
        <f>IF($AE198="","",IFERROR(INDEX(Players!$B$2:$B$301,$AE198),""))</f>
        <v/>
      </c>
      <c r="G198">
        <f>IF($AE198="","",IFERROR(INDEX(Players!$D$2:$D$301,$AE198),""))</f>
        <v/>
      </c>
      <c r="H198">
        <f>IF($AE198="","",IFERROR(INDEX(Players!$C$2:$C$301,$AE198),""))</f>
        <v/>
      </c>
      <c r="I198" s="12">
        <f>IF($AE198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-194+0.5)/3.5))))</f>
        <v/>
      </c>
      <c r="J198" s="12">
        <f>IF($AE198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-194+0.5)/3.5))))</f>
        <v/>
      </c>
      <c r="K198" s="13">
        <f>IF($AE198="","",IFERROR(INDEX(Players!$U$2:$U$301,$AE198),""))</f>
        <v/>
      </c>
      <c r="L198" s="13">
        <f>IF($AE198="","",IFERROR(INDEX(Players!$X$2:$X$301,$AE198),""))</f>
        <v/>
      </c>
      <c r="M198" s="14">
        <f>IF($AE198="","",IFERROR(INDEX(Players!$K$2:$K$301,$AE198),""))</f>
        <v/>
      </c>
      <c r="N198" s="14">
        <f>IF($AE198="","",IFERROR(INDEX(Players!$H$2:$H$301,$AE198),""))</f>
        <v/>
      </c>
      <c r="O198" s="15">
        <f>IF($AE198="","",IFERROR(INDEX(Players!$G$2:$G$301,$AE198),""))</f>
        <v/>
      </c>
      <c r="P198" s="14">
        <f>IF($AE198="","",IFERROR(INDEX(Players!$I$2:$I$301,$AE198),""))</f>
        <v/>
      </c>
      <c r="Q198" s="14">
        <f>IF($AE198="","",IFERROR(INDEX(Players!$F$2:$F$301,$AE198),""))</f>
        <v/>
      </c>
      <c r="R198" s="14">
        <f>IF($AE198="","",IFERROR(INDEX(Players!$J$2:$J$301,$AE198),""))</f>
        <v/>
      </c>
      <c r="S198" s="15">
        <f>IF($AE198="","",IFERROR(INDEX(Players!$L$2:$L$301,$AE198),""))</f>
        <v/>
      </c>
      <c r="T198" s="14">
        <f>IF($AE198="","",IFERROR(INDEX(Players!$M$2:$M$301,$AE198),""))</f>
        <v/>
      </c>
      <c r="U198" s="14">
        <f>IF($AE198="","",IFERROR(INDEX(Players!$N$2:$N$301,$AE198),""))</f>
        <v/>
      </c>
      <c r="V198" s="14">
        <f>IF($AE198="","",IFERROR(INDEX(Players!$O$2:$O$301,$AE198),""))</f>
        <v/>
      </c>
      <c r="W198" s="14">
        <f>IF($AE198="","",IFERROR(INDEX(Players!$P$2:$P$301,$AE198),""))</f>
        <v/>
      </c>
      <c r="X198" s="14">
        <f>IF($AE198="","",IFERROR(INDEX(Players!$Q$2:$Q$301,$AE198),""))</f>
        <v/>
      </c>
      <c r="Y198" s="14">
        <f>IF($AE198="","",IFERROR(INDEX(Players!$R$2:$R$301,$AE198),""))</f>
        <v/>
      </c>
      <c r="AE198">
        <f>IFERROR(MATCH(LARGE(Players!$V$2:$V$301,194),Players!$V$2:$V$301,0),"")</f>
        <v/>
      </c>
    </row>
    <row r="199">
      <c r="E199" s="9" t="n">
        <v>195</v>
      </c>
      <c r="F199">
        <f>IF($AE199="","",IFERROR(INDEX(Players!$B$2:$B$301,$AE199),""))</f>
        <v/>
      </c>
      <c r="G199">
        <f>IF($AE199="","",IFERROR(INDEX(Players!$D$2:$D$301,$AE199),""))</f>
        <v/>
      </c>
      <c r="H199">
        <f>IF($AE199="","",IFERROR(INDEX(Players!$C$2:$C$301,$AE199),""))</f>
        <v/>
      </c>
      <c r="I199" s="12">
        <f>IF($AE199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-195+0.5)/3.5))))</f>
        <v/>
      </c>
      <c r="J199" s="12">
        <f>IF($AE199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-195+0.5)/3.5))))</f>
        <v/>
      </c>
      <c r="K199" s="13">
        <f>IF($AE199="","",IFERROR(INDEX(Players!$U$2:$U$301,$AE199),""))</f>
        <v/>
      </c>
      <c r="L199" s="13">
        <f>IF($AE199="","",IFERROR(INDEX(Players!$X$2:$X$301,$AE199),""))</f>
        <v/>
      </c>
      <c r="M199" s="14">
        <f>IF($AE199="","",IFERROR(INDEX(Players!$K$2:$K$301,$AE199),""))</f>
        <v/>
      </c>
      <c r="N199" s="14">
        <f>IF($AE199="","",IFERROR(INDEX(Players!$H$2:$H$301,$AE199),""))</f>
        <v/>
      </c>
      <c r="O199" s="15">
        <f>IF($AE199="","",IFERROR(INDEX(Players!$G$2:$G$301,$AE199),""))</f>
        <v/>
      </c>
      <c r="P199" s="14">
        <f>IF($AE199="","",IFERROR(INDEX(Players!$I$2:$I$301,$AE199),""))</f>
        <v/>
      </c>
      <c r="Q199" s="14">
        <f>IF($AE199="","",IFERROR(INDEX(Players!$F$2:$F$301,$AE199),""))</f>
        <v/>
      </c>
      <c r="R199" s="14">
        <f>IF($AE199="","",IFERROR(INDEX(Players!$J$2:$J$301,$AE199),""))</f>
        <v/>
      </c>
      <c r="S199" s="15">
        <f>IF($AE199="","",IFERROR(INDEX(Players!$L$2:$L$301,$AE199),""))</f>
        <v/>
      </c>
      <c r="T199" s="14">
        <f>IF($AE199="","",IFERROR(INDEX(Players!$M$2:$M$301,$AE199),""))</f>
        <v/>
      </c>
      <c r="U199" s="14">
        <f>IF($AE199="","",IFERROR(INDEX(Players!$N$2:$N$301,$AE199),""))</f>
        <v/>
      </c>
      <c r="V199" s="14">
        <f>IF($AE199="","",IFERROR(INDEX(Players!$O$2:$O$301,$AE199),""))</f>
        <v/>
      </c>
      <c r="W199" s="14">
        <f>IF($AE199="","",IFERROR(INDEX(Players!$P$2:$P$301,$AE199),""))</f>
        <v/>
      </c>
      <c r="X199" s="14">
        <f>IF($AE199="","",IFERROR(INDEX(Players!$Q$2:$Q$301,$AE199),""))</f>
        <v/>
      </c>
      <c r="Y199" s="14">
        <f>IF($AE199="","",IFERROR(INDEX(Players!$R$2:$R$301,$AE199),""))</f>
        <v/>
      </c>
      <c r="AE199">
        <f>IFERROR(MATCH(LARGE(Players!$V$2:$V$301,195),Players!$V$2:$V$301,0),"")</f>
        <v/>
      </c>
    </row>
    <row r="200">
      <c r="E200" s="9" t="n">
        <v>196</v>
      </c>
      <c r="F200">
        <f>IF($AE200="","",IFERROR(INDEX(Players!$B$2:$B$301,$AE200),""))</f>
        <v/>
      </c>
      <c r="G200">
        <f>IF($AE200="","",IFERROR(INDEX(Players!$D$2:$D$301,$AE200),""))</f>
        <v/>
      </c>
      <c r="H200">
        <f>IF($AE200="","",IFERROR(INDEX(Players!$C$2:$C$301,$AE200),""))</f>
        <v/>
      </c>
      <c r="I200" s="12">
        <f>IF($AE200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-196+0.5)/3.5))))</f>
        <v/>
      </c>
      <c r="J200" s="12">
        <f>IF($AE200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-196+0.5)/3.5))))</f>
        <v/>
      </c>
      <c r="K200" s="13">
        <f>IF($AE200="","",IFERROR(INDEX(Players!$U$2:$U$301,$AE200),""))</f>
        <v/>
      </c>
      <c r="L200" s="13">
        <f>IF($AE200="","",IFERROR(INDEX(Players!$X$2:$X$301,$AE200),""))</f>
        <v/>
      </c>
      <c r="M200" s="14">
        <f>IF($AE200="","",IFERROR(INDEX(Players!$K$2:$K$301,$AE200),""))</f>
        <v/>
      </c>
      <c r="N200" s="14">
        <f>IF($AE200="","",IFERROR(INDEX(Players!$H$2:$H$301,$AE200),""))</f>
        <v/>
      </c>
      <c r="O200" s="15">
        <f>IF($AE200="","",IFERROR(INDEX(Players!$G$2:$G$301,$AE200),""))</f>
        <v/>
      </c>
      <c r="P200" s="14">
        <f>IF($AE200="","",IFERROR(INDEX(Players!$I$2:$I$301,$AE200),""))</f>
        <v/>
      </c>
      <c r="Q200" s="14">
        <f>IF($AE200="","",IFERROR(INDEX(Players!$F$2:$F$301,$AE200),""))</f>
        <v/>
      </c>
      <c r="R200" s="14">
        <f>IF($AE200="","",IFERROR(INDEX(Players!$J$2:$J$301,$AE200),""))</f>
        <v/>
      </c>
      <c r="S200" s="15">
        <f>IF($AE200="","",IFERROR(INDEX(Players!$L$2:$L$301,$AE200),""))</f>
        <v/>
      </c>
      <c r="T200" s="14">
        <f>IF($AE200="","",IFERROR(INDEX(Players!$M$2:$M$301,$AE200),""))</f>
        <v/>
      </c>
      <c r="U200" s="14">
        <f>IF($AE200="","",IFERROR(INDEX(Players!$N$2:$N$301,$AE200),""))</f>
        <v/>
      </c>
      <c r="V200" s="14">
        <f>IF($AE200="","",IFERROR(INDEX(Players!$O$2:$O$301,$AE200),""))</f>
        <v/>
      </c>
      <c r="W200" s="14">
        <f>IF($AE200="","",IFERROR(INDEX(Players!$P$2:$P$301,$AE200),""))</f>
        <v/>
      </c>
      <c r="X200" s="14">
        <f>IF($AE200="","",IFERROR(INDEX(Players!$Q$2:$Q$301,$AE200),""))</f>
        <v/>
      </c>
      <c r="Y200" s="14">
        <f>IF($AE200="","",IFERROR(INDEX(Players!$R$2:$R$301,$AE200),""))</f>
        <v/>
      </c>
      <c r="AE200">
        <f>IFERROR(MATCH(LARGE(Players!$V$2:$V$301,196),Players!$V$2:$V$301,0),"")</f>
        <v/>
      </c>
    </row>
    <row r="201">
      <c r="E201" s="9" t="n">
        <v>197</v>
      </c>
      <c r="F201">
        <f>IF($AE201="","",IFERROR(INDEX(Players!$B$2:$B$301,$AE201),""))</f>
        <v/>
      </c>
      <c r="G201">
        <f>IF($AE201="","",IFERROR(INDEX(Players!$D$2:$D$301,$AE201),""))</f>
        <v/>
      </c>
      <c r="H201">
        <f>IF($AE201="","",IFERROR(INDEX(Players!$C$2:$C$301,$AE201),""))</f>
        <v/>
      </c>
      <c r="I201" s="12">
        <f>IF($AE201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-197+0.5)/3.5))))</f>
        <v/>
      </c>
      <c r="J201" s="12">
        <f>IF($AE201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-197+0.5)/3.5))))</f>
        <v/>
      </c>
      <c r="K201" s="13">
        <f>IF($AE201="","",IFERROR(INDEX(Players!$U$2:$U$301,$AE201),""))</f>
        <v/>
      </c>
      <c r="L201" s="13">
        <f>IF($AE201="","",IFERROR(INDEX(Players!$X$2:$X$301,$AE201),""))</f>
        <v/>
      </c>
      <c r="M201" s="14">
        <f>IF($AE201="","",IFERROR(INDEX(Players!$K$2:$K$301,$AE201),""))</f>
        <v/>
      </c>
      <c r="N201" s="14">
        <f>IF($AE201="","",IFERROR(INDEX(Players!$H$2:$H$301,$AE201),""))</f>
        <v/>
      </c>
      <c r="O201" s="15">
        <f>IF($AE201="","",IFERROR(INDEX(Players!$G$2:$G$301,$AE201),""))</f>
        <v/>
      </c>
      <c r="P201" s="14">
        <f>IF($AE201="","",IFERROR(INDEX(Players!$I$2:$I$301,$AE201),""))</f>
        <v/>
      </c>
      <c r="Q201" s="14">
        <f>IF($AE201="","",IFERROR(INDEX(Players!$F$2:$F$301,$AE201),""))</f>
        <v/>
      </c>
      <c r="R201" s="14">
        <f>IF($AE201="","",IFERROR(INDEX(Players!$J$2:$J$301,$AE201),""))</f>
        <v/>
      </c>
      <c r="S201" s="15">
        <f>IF($AE201="","",IFERROR(INDEX(Players!$L$2:$L$301,$AE201),""))</f>
        <v/>
      </c>
      <c r="T201" s="14">
        <f>IF($AE201="","",IFERROR(INDEX(Players!$M$2:$M$301,$AE201),""))</f>
        <v/>
      </c>
      <c r="U201" s="14">
        <f>IF($AE201="","",IFERROR(INDEX(Players!$N$2:$N$301,$AE201),""))</f>
        <v/>
      </c>
      <c r="V201" s="14">
        <f>IF($AE201="","",IFERROR(INDEX(Players!$O$2:$O$301,$AE201),""))</f>
        <v/>
      </c>
      <c r="W201" s="14">
        <f>IF($AE201="","",IFERROR(INDEX(Players!$P$2:$P$301,$AE201),""))</f>
        <v/>
      </c>
      <c r="X201" s="14">
        <f>IF($AE201="","",IFERROR(INDEX(Players!$Q$2:$Q$301,$AE201),""))</f>
        <v/>
      </c>
      <c r="Y201" s="14">
        <f>IF($AE201="","",IFERROR(INDEX(Players!$R$2:$R$301,$AE201),""))</f>
        <v/>
      </c>
      <c r="AE201">
        <f>IFERROR(MATCH(LARGE(Players!$V$2:$V$301,197),Players!$V$2:$V$301,0),"")</f>
        <v/>
      </c>
    </row>
    <row r="202">
      <c r="E202" s="9" t="n">
        <v>198</v>
      </c>
      <c r="F202">
        <f>IF($AE202="","",IFERROR(INDEX(Players!$B$2:$B$301,$AE202),""))</f>
        <v/>
      </c>
      <c r="G202">
        <f>IF($AE202="","",IFERROR(INDEX(Players!$D$2:$D$301,$AE202),""))</f>
        <v/>
      </c>
      <c r="H202">
        <f>IF($AE202="","",IFERROR(INDEX(Players!$C$2:$C$301,$AE202),""))</f>
        <v/>
      </c>
      <c r="I202" s="12">
        <f>IF($AE202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-198+0.5)/3.5))))</f>
        <v/>
      </c>
      <c r="J202" s="12">
        <f>IF($AE202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-198+0.5)/3.5))))</f>
        <v/>
      </c>
      <c r="K202" s="13">
        <f>IF($AE202="","",IFERROR(INDEX(Players!$U$2:$U$301,$AE202),""))</f>
        <v/>
      </c>
      <c r="L202" s="13">
        <f>IF($AE202="","",IFERROR(INDEX(Players!$X$2:$X$301,$AE202),""))</f>
        <v/>
      </c>
      <c r="M202" s="14">
        <f>IF($AE202="","",IFERROR(INDEX(Players!$K$2:$K$301,$AE202),""))</f>
        <v/>
      </c>
      <c r="N202" s="14">
        <f>IF($AE202="","",IFERROR(INDEX(Players!$H$2:$H$301,$AE202),""))</f>
        <v/>
      </c>
      <c r="O202" s="15">
        <f>IF($AE202="","",IFERROR(INDEX(Players!$G$2:$G$301,$AE202),""))</f>
        <v/>
      </c>
      <c r="P202" s="14">
        <f>IF($AE202="","",IFERROR(INDEX(Players!$I$2:$I$301,$AE202),""))</f>
        <v/>
      </c>
      <c r="Q202" s="14">
        <f>IF($AE202="","",IFERROR(INDEX(Players!$F$2:$F$301,$AE202),""))</f>
        <v/>
      </c>
      <c r="R202" s="14">
        <f>IF($AE202="","",IFERROR(INDEX(Players!$J$2:$J$301,$AE202),""))</f>
        <v/>
      </c>
      <c r="S202" s="15">
        <f>IF($AE202="","",IFERROR(INDEX(Players!$L$2:$L$301,$AE202),""))</f>
        <v/>
      </c>
      <c r="T202" s="14">
        <f>IF($AE202="","",IFERROR(INDEX(Players!$M$2:$M$301,$AE202),""))</f>
        <v/>
      </c>
      <c r="U202" s="14">
        <f>IF($AE202="","",IFERROR(INDEX(Players!$N$2:$N$301,$AE202),""))</f>
        <v/>
      </c>
      <c r="V202" s="14">
        <f>IF($AE202="","",IFERROR(INDEX(Players!$O$2:$O$301,$AE202),""))</f>
        <v/>
      </c>
      <c r="W202" s="14">
        <f>IF($AE202="","",IFERROR(INDEX(Players!$P$2:$P$301,$AE202),""))</f>
        <v/>
      </c>
      <c r="X202" s="14">
        <f>IF($AE202="","",IFERROR(INDEX(Players!$Q$2:$Q$301,$AE202),""))</f>
        <v/>
      </c>
      <c r="Y202" s="14">
        <f>IF($AE202="","",IFERROR(INDEX(Players!$R$2:$R$301,$AE202),""))</f>
        <v/>
      </c>
      <c r="AE202">
        <f>IFERROR(MATCH(LARGE(Players!$V$2:$V$301,198),Players!$V$2:$V$301,0),"")</f>
        <v/>
      </c>
    </row>
    <row r="203">
      <c r="E203" s="9" t="n">
        <v>199</v>
      </c>
      <c r="F203">
        <f>IF($AE203="","",IFERROR(INDEX(Players!$B$2:$B$301,$AE203),""))</f>
        <v/>
      </c>
      <c r="G203">
        <f>IF($AE203="","",IFERROR(INDEX(Players!$D$2:$D$301,$AE203),""))</f>
        <v/>
      </c>
      <c r="H203">
        <f>IF($AE203="","",IFERROR(INDEX(Players!$C$2:$C$301,$AE203),""))</f>
        <v/>
      </c>
      <c r="I203" s="12">
        <f>IF($AE203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-199+0.5)/3.5))))</f>
        <v/>
      </c>
      <c r="J203" s="12">
        <f>IF($AE203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-199+0.5)/3.5))))</f>
        <v/>
      </c>
      <c r="K203" s="13">
        <f>IF($AE203="","",IFERROR(INDEX(Players!$U$2:$U$301,$AE203),""))</f>
        <v/>
      </c>
      <c r="L203" s="13">
        <f>IF($AE203="","",IFERROR(INDEX(Players!$X$2:$X$301,$AE203),""))</f>
        <v/>
      </c>
      <c r="M203" s="14">
        <f>IF($AE203="","",IFERROR(INDEX(Players!$K$2:$K$301,$AE203),""))</f>
        <v/>
      </c>
      <c r="N203" s="14">
        <f>IF($AE203="","",IFERROR(INDEX(Players!$H$2:$H$301,$AE203),""))</f>
        <v/>
      </c>
      <c r="O203" s="15">
        <f>IF($AE203="","",IFERROR(INDEX(Players!$G$2:$G$301,$AE203),""))</f>
        <v/>
      </c>
      <c r="P203" s="14">
        <f>IF($AE203="","",IFERROR(INDEX(Players!$I$2:$I$301,$AE203),""))</f>
        <v/>
      </c>
      <c r="Q203" s="14">
        <f>IF($AE203="","",IFERROR(INDEX(Players!$F$2:$F$301,$AE203),""))</f>
        <v/>
      </c>
      <c r="R203" s="14">
        <f>IF($AE203="","",IFERROR(INDEX(Players!$J$2:$J$301,$AE203),""))</f>
        <v/>
      </c>
      <c r="S203" s="15">
        <f>IF($AE203="","",IFERROR(INDEX(Players!$L$2:$L$301,$AE203),""))</f>
        <v/>
      </c>
      <c r="T203" s="14">
        <f>IF($AE203="","",IFERROR(INDEX(Players!$M$2:$M$301,$AE203),""))</f>
        <v/>
      </c>
      <c r="U203" s="14">
        <f>IF($AE203="","",IFERROR(INDEX(Players!$N$2:$N$301,$AE203),""))</f>
        <v/>
      </c>
      <c r="V203" s="14">
        <f>IF($AE203="","",IFERROR(INDEX(Players!$O$2:$O$301,$AE203),""))</f>
        <v/>
      </c>
      <c r="W203" s="14">
        <f>IF($AE203="","",IFERROR(INDEX(Players!$P$2:$P$301,$AE203),""))</f>
        <v/>
      </c>
      <c r="X203" s="14">
        <f>IF($AE203="","",IFERROR(INDEX(Players!$Q$2:$Q$301,$AE203),""))</f>
        <v/>
      </c>
      <c r="Y203" s="14">
        <f>IF($AE203="","",IFERROR(INDEX(Players!$R$2:$R$301,$AE203),""))</f>
        <v/>
      </c>
      <c r="AE203">
        <f>IFERROR(MATCH(LARGE(Players!$V$2:$V$301,199),Players!$V$2:$V$301,0),"")</f>
        <v/>
      </c>
    </row>
    <row r="204">
      <c r="E204" s="9" t="n">
        <v>200</v>
      </c>
      <c r="F204">
        <f>IF($AE204="","",IFERROR(INDEX(Players!$B$2:$B$301,$AE204),""))</f>
        <v/>
      </c>
      <c r="G204">
        <f>IF($AE204="","",IFERROR(INDEX(Players!$D$2:$D$301,$AE204),""))</f>
        <v/>
      </c>
      <c r="H204">
        <f>IF($AE204="","",IFERROR(INDEX(Players!$C$2:$C$301,$AE204),""))</f>
        <v/>
      </c>
      <c r="I204" s="12">
        <f>IF($AE204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-200+0.5)/3.5))))</f>
        <v/>
      </c>
      <c r="J204" s="12">
        <f>IF($AE204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-200+0.5)/3.5))))</f>
        <v/>
      </c>
      <c r="K204" s="13">
        <f>IF($AE204="","",IFERROR(INDEX(Players!$U$2:$U$301,$AE204),""))</f>
        <v/>
      </c>
      <c r="L204" s="13">
        <f>IF($AE204="","",IFERROR(INDEX(Players!$X$2:$X$301,$AE204),""))</f>
        <v/>
      </c>
      <c r="M204" s="14">
        <f>IF($AE204="","",IFERROR(INDEX(Players!$K$2:$K$301,$AE204),""))</f>
        <v/>
      </c>
      <c r="N204" s="14">
        <f>IF($AE204="","",IFERROR(INDEX(Players!$H$2:$H$301,$AE204),""))</f>
        <v/>
      </c>
      <c r="O204" s="15">
        <f>IF($AE204="","",IFERROR(INDEX(Players!$G$2:$G$301,$AE204),""))</f>
        <v/>
      </c>
      <c r="P204" s="14">
        <f>IF($AE204="","",IFERROR(INDEX(Players!$I$2:$I$301,$AE204),""))</f>
        <v/>
      </c>
      <c r="Q204" s="14">
        <f>IF($AE204="","",IFERROR(INDEX(Players!$F$2:$F$301,$AE204),""))</f>
        <v/>
      </c>
      <c r="R204" s="14">
        <f>IF($AE204="","",IFERROR(INDEX(Players!$J$2:$J$301,$AE204),""))</f>
        <v/>
      </c>
      <c r="S204" s="15">
        <f>IF($AE204="","",IFERROR(INDEX(Players!$L$2:$L$301,$AE204),""))</f>
        <v/>
      </c>
      <c r="T204" s="14">
        <f>IF($AE204="","",IFERROR(INDEX(Players!$M$2:$M$301,$AE204),""))</f>
        <v/>
      </c>
      <c r="U204" s="14">
        <f>IF($AE204="","",IFERROR(INDEX(Players!$N$2:$N$301,$AE204),""))</f>
        <v/>
      </c>
      <c r="V204" s="14">
        <f>IF($AE204="","",IFERROR(INDEX(Players!$O$2:$O$301,$AE204),""))</f>
        <v/>
      </c>
      <c r="W204" s="14">
        <f>IF($AE204="","",IFERROR(INDEX(Players!$P$2:$P$301,$AE204),""))</f>
        <v/>
      </c>
      <c r="X204" s="14">
        <f>IF($AE204="","",IFERROR(INDEX(Players!$Q$2:$Q$301,$AE204),""))</f>
        <v/>
      </c>
      <c r="Y204" s="14">
        <f>IF($AE204="","",IFERROR(INDEX(Players!$R$2:$R$301,$AE204),""))</f>
        <v/>
      </c>
      <c r="AE204">
        <f>IFERROR(MATCH(LARGE(Players!$V$2:$V$301,200),Players!$V$2:$V$301,0),"")</f>
        <v/>
      </c>
    </row>
    <row r="205">
      <c r="E205" s="9" t="n">
        <v>201</v>
      </c>
      <c r="F205">
        <f>IF($AE205="","",IFERROR(INDEX(Players!$B$2:$B$301,$AE205),""))</f>
        <v/>
      </c>
      <c r="G205">
        <f>IF($AE205="","",IFERROR(INDEX(Players!$D$2:$D$301,$AE205),""))</f>
        <v/>
      </c>
      <c r="H205">
        <f>IF($AE205="","",IFERROR(INDEX(Players!$C$2:$C$301,$AE205),""))</f>
        <v/>
      </c>
      <c r="I205" s="12">
        <f>IF($AE205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-201+0.5)/3.5))))</f>
        <v/>
      </c>
      <c r="J205" s="12">
        <f>IF($AE205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-201+0.5)/3.5))))</f>
        <v/>
      </c>
      <c r="K205" s="13">
        <f>IF($AE205="","",IFERROR(INDEX(Players!$U$2:$U$301,$AE205),""))</f>
        <v/>
      </c>
      <c r="L205" s="13">
        <f>IF($AE205="","",IFERROR(INDEX(Players!$X$2:$X$301,$AE205),""))</f>
        <v/>
      </c>
      <c r="M205" s="14">
        <f>IF($AE205="","",IFERROR(INDEX(Players!$K$2:$K$301,$AE205),""))</f>
        <v/>
      </c>
      <c r="N205" s="14">
        <f>IF($AE205="","",IFERROR(INDEX(Players!$H$2:$H$301,$AE205),""))</f>
        <v/>
      </c>
      <c r="O205" s="15">
        <f>IF($AE205="","",IFERROR(INDEX(Players!$G$2:$G$301,$AE205),""))</f>
        <v/>
      </c>
      <c r="P205" s="14">
        <f>IF($AE205="","",IFERROR(INDEX(Players!$I$2:$I$301,$AE205),""))</f>
        <v/>
      </c>
      <c r="Q205" s="14">
        <f>IF($AE205="","",IFERROR(INDEX(Players!$F$2:$F$301,$AE205),""))</f>
        <v/>
      </c>
      <c r="R205" s="14">
        <f>IF($AE205="","",IFERROR(INDEX(Players!$J$2:$J$301,$AE205),""))</f>
        <v/>
      </c>
      <c r="S205" s="15">
        <f>IF($AE205="","",IFERROR(INDEX(Players!$L$2:$L$301,$AE205),""))</f>
        <v/>
      </c>
      <c r="T205" s="14">
        <f>IF($AE205="","",IFERROR(INDEX(Players!$M$2:$M$301,$AE205),""))</f>
        <v/>
      </c>
      <c r="U205" s="14">
        <f>IF($AE205="","",IFERROR(INDEX(Players!$N$2:$N$301,$AE205),""))</f>
        <v/>
      </c>
      <c r="V205" s="14">
        <f>IF($AE205="","",IFERROR(INDEX(Players!$O$2:$O$301,$AE205),""))</f>
        <v/>
      </c>
      <c r="W205" s="14">
        <f>IF($AE205="","",IFERROR(INDEX(Players!$P$2:$P$301,$AE205),""))</f>
        <v/>
      </c>
      <c r="X205" s="14">
        <f>IF($AE205="","",IFERROR(INDEX(Players!$Q$2:$Q$301,$AE205),""))</f>
        <v/>
      </c>
      <c r="Y205" s="14">
        <f>IF($AE205="","",IFERROR(INDEX(Players!$R$2:$R$301,$AE205),""))</f>
        <v/>
      </c>
      <c r="AE205">
        <f>IFERROR(MATCH(LARGE(Players!$V$2:$V$301,201),Players!$V$2:$V$301,0),"")</f>
        <v/>
      </c>
    </row>
    <row r="206">
      <c r="E206" s="9" t="n">
        <v>202</v>
      </c>
      <c r="F206">
        <f>IF($AE206="","",IFERROR(INDEX(Players!$B$2:$B$301,$AE206),""))</f>
        <v/>
      </c>
      <c r="G206">
        <f>IF($AE206="","",IFERROR(INDEX(Players!$D$2:$D$301,$AE206),""))</f>
        <v/>
      </c>
      <c r="H206">
        <f>IF($AE206="","",IFERROR(INDEX(Players!$C$2:$C$301,$AE206),""))</f>
        <v/>
      </c>
      <c r="I206" s="12">
        <f>IF($AE206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-202+0.5)/3.5))))</f>
        <v/>
      </c>
      <c r="J206" s="12">
        <f>IF($AE206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-202+0.5)/3.5))))</f>
        <v/>
      </c>
      <c r="K206" s="13">
        <f>IF($AE206="","",IFERROR(INDEX(Players!$U$2:$U$301,$AE206),""))</f>
        <v/>
      </c>
      <c r="L206" s="13">
        <f>IF($AE206="","",IFERROR(INDEX(Players!$X$2:$X$301,$AE206),""))</f>
        <v/>
      </c>
      <c r="M206" s="14">
        <f>IF($AE206="","",IFERROR(INDEX(Players!$K$2:$K$301,$AE206),""))</f>
        <v/>
      </c>
      <c r="N206" s="14">
        <f>IF($AE206="","",IFERROR(INDEX(Players!$H$2:$H$301,$AE206),""))</f>
        <v/>
      </c>
      <c r="O206" s="15">
        <f>IF($AE206="","",IFERROR(INDEX(Players!$G$2:$G$301,$AE206),""))</f>
        <v/>
      </c>
      <c r="P206" s="14">
        <f>IF($AE206="","",IFERROR(INDEX(Players!$I$2:$I$301,$AE206),""))</f>
        <v/>
      </c>
      <c r="Q206" s="14">
        <f>IF($AE206="","",IFERROR(INDEX(Players!$F$2:$F$301,$AE206),""))</f>
        <v/>
      </c>
      <c r="R206" s="14">
        <f>IF($AE206="","",IFERROR(INDEX(Players!$J$2:$J$301,$AE206),""))</f>
        <v/>
      </c>
      <c r="S206" s="15">
        <f>IF($AE206="","",IFERROR(INDEX(Players!$L$2:$L$301,$AE206),""))</f>
        <v/>
      </c>
      <c r="T206" s="14">
        <f>IF($AE206="","",IFERROR(INDEX(Players!$M$2:$M$301,$AE206),""))</f>
        <v/>
      </c>
      <c r="U206" s="14">
        <f>IF($AE206="","",IFERROR(INDEX(Players!$N$2:$N$301,$AE206),""))</f>
        <v/>
      </c>
      <c r="V206" s="14">
        <f>IF($AE206="","",IFERROR(INDEX(Players!$O$2:$O$301,$AE206),""))</f>
        <v/>
      </c>
      <c r="W206" s="14">
        <f>IF($AE206="","",IFERROR(INDEX(Players!$P$2:$P$301,$AE206),""))</f>
        <v/>
      </c>
      <c r="X206" s="14">
        <f>IF($AE206="","",IFERROR(INDEX(Players!$Q$2:$Q$301,$AE206),""))</f>
        <v/>
      </c>
      <c r="Y206" s="14">
        <f>IF($AE206="","",IFERROR(INDEX(Players!$R$2:$R$301,$AE206),""))</f>
        <v/>
      </c>
      <c r="AE206">
        <f>IFERROR(MATCH(LARGE(Players!$V$2:$V$301,202),Players!$V$2:$V$301,0),"")</f>
        <v/>
      </c>
    </row>
    <row r="207">
      <c r="E207" s="9" t="n">
        <v>203</v>
      </c>
      <c r="F207">
        <f>IF($AE207="","",IFERROR(INDEX(Players!$B$2:$B$301,$AE207),""))</f>
        <v/>
      </c>
      <c r="G207">
        <f>IF($AE207="","",IFERROR(INDEX(Players!$D$2:$D$301,$AE207),""))</f>
        <v/>
      </c>
      <c r="H207">
        <f>IF($AE207="","",IFERROR(INDEX(Players!$C$2:$C$301,$AE207),""))</f>
        <v/>
      </c>
      <c r="I207" s="12">
        <f>IF($AE207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-203+0.5)/3.5))))</f>
        <v/>
      </c>
      <c r="J207" s="12">
        <f>IF($AE207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-203+0.5)/3.5))))</f>
        <v/>
      </c>
      <c r="K207" s="13">
        <f>IF($AE207="","",IFERROR(INDEX(Players!$U$2:$U$301,$AE207),""))</f>
        <v/>
      </c>
      <c r="L207" s="13">
        <f>IF($AE207="","",IFERROR(INDEX(Players!$X$2:$X$301,$AE207),""))</f>
        <v/>
      </c>
      <c r="M207" s="14">
        <f>IF($AE207="","",IFERROR(INDEX(Players!$K$2:$K$301,$AE207),""))</f>
        <v/>
      </c>
      <c r="N207" s="14">
        <f>IF($AE207="","",IFERROR(INDEX(Players!$H$2:$H$301,$AE207),""))</f>
        <v/>
      </c>
      <c r="O207" s="15">
        <f>IF($AE207="","",IFERROR(INDEX(Players!$G$2:$G$301,$AE207),""))</f>
        <v/>
      </c>
      <c r="P207" s="14">
        <f>IF($AE207="","",IFERROR(INDEX(Players!$I$2:$I$301,$AE207),""))</f>
        <v/>
      </c>
      <c r="Q207" s="14">
        <f>IF($AE207="","",IFERROR(INDEX(Players!$F$2:$F$301,$AE207),""))</f>
        <v/>
      </c>
      <c r="R207" s="14">
        <f>IF($AE207="","",IFERROR(INDEX(Players!$J$2:$J$301,$AE207),""))</f>
        <v/>
      </c>
      <c r="S207" s="15">
        <f>IF($AE207="","",IFERROR(INDEX(Players!$L$2:$L$301,$AE207),""))</f>
        <v/>
      </c>
      <c r="T207" s="14">
        <f>IF($AE207="","",IFERROR(INDEX(Players!$M$2:$M$301,$AE207),""))</f>
        <v/>
      </c>
      <c r="U207" s="14">
        <f>IF($AE207="","",IFERROR(INDEX(Players!$N$2:$N$301,$AE207),""))</f>
        <v/>
      </c>
      <c r="V207" s="14">
        <f>IF($AE207="","",IFERROR(INDEX(Players!$O$2:$O$301,$AE207),""))</f>
        <v/>
      </c>
      <c r="W207" s="14">
        <f>IF($AE207="","",IFERROR(INDEX(Players!$P$2:$P$301,$AE207),""))</f>
        <v/>
      </c>
      <c r="X207" s="14">
        <f>IF($AE207="","",IFERROR(INDEX(Players!$Q$2:$Q$301,$AE207),""))</f>
        <v/>
      </c>
      <c r="Y207" s="14">
        <f>IF($AE207="","",IFERROR(INDEX(Players!$R$2:$R$301,$AE207),""))</f>
        <v/>
      </c>
      <c r="AE207">
        <f>IFERROR(MATCH(LARGE(Players!$V$2:$V$301,203),Players!$V$2:$V$301,0),"")</f>
        <v/>
      </c>
    </row>
    <row r="208">
      <c r="E208" s="9" t="n">
        <v>204</v>
      </c>
      <c r="F208">
        <f>IF($AE208="","",IFERROR(INDEX(Players!$B$2:$B$301,$AE208),""))</f>
        <v/>
      </c>
      <c r="G208">
        <f>IF($AE208="","",IFERROR(INDEX(Players!$D$2:$D$301,$AE208),""))</f>
        <v/>
      </c>
      <c r="H208">
        <f>IF($AE208="","",IFERROR(INDEX(Players!$C$2:$C$301,$AE208),""))</f>
        <v/>
      </c>
      <c r="I208" s="12">
        <f>IF($AE208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-204+0.5)/3.5))))</f>
        <v/>
      </c>
      <c r="J208" s="12">
        <f>IF($AE208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-204+0.5)/3.5))))</f>
        <v/>
      </c>
      <c r="K208" s="13">
        <f>IF($AE208="","",IFERROR(INDEX(Players!$U$2:$U$301,$AE208),""))</f>
        <v/>
      </c>
      <c r="L208" s="13">
        <f>IF($AE208="","",IFERROR(INDEX(Players!$X$2:$X$301,$AE208),""))</f>
        <v/>
      </c>
      <c r="M208" s="14">
        <f>IF($AE208="","",IFERROR(INDEX(Players!$K$2:$K$301,$AE208),""))</f>
        <v/>
      </c>
      <c r="N208" s="14">
        <f>IF($AE208="","",IFERROR(INDEX(Players!$H$2:$H$301,$AE208),""))</f>
        <v/>
      </c>
      <c r="O208" s="15">
        <f>IF($AE208="","",IFERROR(INDEX(Players!$G$2:$G$301,$AE208),""))</f>
        <v/>
      </c>
      <c r="P208" s="14">
        <f>IF($AE208="","",IFERROR(INDEX(Players!$I$2:$I$301,$AE208),""))</f>
        <v/>
      </c>
      <c r="Q208" s="14">
        <f>IF($AE208="","",IFERROR(INDEX(Players!$F$2:$F$301,$AE208),""))</f>
        <v/>
      </c>
      <c r="R208" s="14">
        <f>IF($AE208="","",IFERROR(INDEX(Players!$J$2:$J$301,$AE208),""))</f>
        <v/>
      </c>
      <c r="S208" s="15">
        <f>IF($AE208="","",IFERROR(INDEX(Players!$L$2:$L$301,$AE208),""))</f>
        <v/>
      </c>
      <c r="T208" s="14">
        <f>IF($AE208="","",IFERROR(INDEX(Players!$M$2:$M$301,$AE208),""))</f>
        <v/>
      </c>
      <c r="U208" s="14">
        <f>IF($AE208="","",IFERROR(INDEX(Players!$N$2:$N$301,$AE208),""))</f>
        <v/>
      </c>
      <c r="V208" s="14">
        <f>IF($AE208="","",IFERROR(INDEX(Players!$O$2:$O$301,$AE208),""))</f>
        <v/>
      </c>
      <c r="W208" s="14">
        <f>IF($AE208="","",IFERROR(INDEX(Players!$P$2:$P$301,$AE208),""))</f>
        <v/>
      </c>
      <c r="X208" s="14">
        <f>IF($AE208="","",IFERROR(INDEX(Players!$Q$2:$Q$301,$AE208),""))</f>
        <v/>
      </c>
      <c r="Y208" s="14">
        <f>IF($AE208="","",IFERROR(INDEX(Players!$R$2:$R$301,$AE208),""))</f>
        <v/>
      </c>
      <c r="AE208">
        <f>IFERROR(MATCH(LARGE(Players!$V$2:$V$301,204),Players!$V$2:$V$301,0),"")</f>
        <v/>
      </c>
    </row>
    <row r="209">
      <c r="E209" s="9" t="n">
        <v>205</v>
      </c>
      <c r="F209">
        <f>IF($AE209="","",IFERROR(INDEX(Players!$B$2:$B$301,$AE209),""))</f>
        <v/>
      </c>
      <c r="G209">
        <f>IF($AE209="","",IFERROR(INDEX(Players!$D$2:$D$301,$AE209),""))</f>
        <v/>
      </c>
      <c r="H209">
        <f>IF($AE209="","",IFERROR(INDEX(Players!$C$2:$C$301,$AE209),""))</f>
        <v/>
      </c>
      <c r="I209" s="12">
        <f>IF($AE209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-205+0.5)/3.5))))</f>
        <v/>
      </c>
      <c r="J209" s="12">
        <f>IF($AE209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-205+0.5)/3.5))))</f>
        <v/>
      </c>
      <c r="K209" s="13">
        <f>IF($AE209="","",IFERROR(INDEX(Players!$U$2:$U$301,$AE209),""))</f>
        <v/>
      </c>
      <c r="L209" s="13">
        <f>IF($AE209="","",IFERROR(INDEX(Players!$X$2:$X$301,$AE209),""))</f>
        <v/>
      </c>
      <c r="M209" s="14">
        <f>IF($AE209="","",IFERROR(INDEX(Players!$K$2:$K$301,$AE209),""))</f>
        <v/>
      </c>
      <c r="N209" s="14">
        <f>IF($AE209="","",IFERROR(INDEX(Players!$H$2:$H$301,$AE209),""))</f>
        <v/>
      </c>
      <c r="O209" s="15">
        <f>IF($AE209="","",IFERROR(INDEX(Players!$G$2:$G$301,$AE209),""))</f>
        <v/>
      </c>
      <c r="P209" s="14">
        <f>IF($AE209="","",IFERROR(INDEX(Players!$I$2:$I$301,$AE209),""))</f>
        <v/>
      </c>
      <c r="Q209" s="14">
        <f>IF($AE209="","",IFERROR(INDEX(Players!$F$2:$F$301,$AE209),""))</f>
        <v/>
      </c>
      <c r="R209" s="14">
        <f>IF($AE209="","",IFERROR(INDEX(Players!$J$2:$J$301,$AE209),""))</f>
        <v/>
      </c>
      <c r="S209" s="15">
        <f>IF($AE209="","",IFERROR(INDEX(Players!$L$2:$L$301,$AE209),""))</f>
        <v/>
      </c>
      <c r="T209" s="14">
        <f>IF($AE209="","",IFERROR(INDEX(Players!$M$2:$M$301,$AE209),""))</f>
        <v/>
      </c>
      <c r="U209" s="14">
        <f>IF($AE209="","",IFERROR(INDEX(Players!$N$2:$N$301,$AE209),""))</f>
        <v/>
      </c>
      <c r="V209" s="14">
        <f>IF($AE209="","",IFERROR(INDEX(Players!$O$2:$O$301,$AE209),""))</f>
        <v/>
      </c>
      <c r="W209" s="14">
        <f>IF($AE209="","",IFERROR(INDEX(Players!$P$2:$P$301,$AE209),""))</f>
        <v/>
      </c>
      <c r="X209" s="14">
        <f>IF($AE209="","",IFERROR(INDEX(Players!$Q$2:$Q$301,$AE209),""))</f>
        <v/>
      </c>
      <c r="Y209" s="14">
        <f>IF($AE209="","",IFERROR(INDEX(Players!$R$2:$R$301,$AE209),""))</f>
        <v/>
      </c>
      <c r="AE209">
        <f>IFERROR(MATCH(LARGE(Players!$V$2:$V$301,205),Players!$V$2:$V$301,0),"")</f>
        <v/>
      </c>
    </row>
    <row r="210">
      <c r="E210" s="9" t="n">
        <v>206</v>
      </c>
      <c r="F210">
        <f>IF($AE210="","",IFERROR(INDEX(Players!$B$2:$B$301,$AE210),""))</f>
        <v/>
      </c>
      <c r="G210">
        <f>IF($AE210="","",IFERROR(INDEX(Players!$D$2:$D$301,$AE210),""))</f>
        <v/>
      </c>
      <c r="H210">
        <f>IF($AE210="","",IFERROR(INDEX(Players!$C$2:$C$301,$AE210),""))</f>
        <v/>
      </c>
      <c r="I210" s="12">
        <f>IF($AE210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-206+0.5)/3.5))))</f>
        <v/>
      </c>
      <c r="J210" s="12">
        <f>IF($AE210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-206+0.5)/3.5))))</f>
        <v/>
      </c>
      <c r="K210" s="13">
        <f>IF($AE210="","",IFERROR(INDEX(Players!$U$2:$U$301,$AE210),""))</f>
        <v/>
      </c>
      <c r="L210" s="13">
        <f>IF($AE210="","",IFERROR(INDEX(Players!$X$2:$X$301,$AE210),""))</f>
        <v/>
      </c>
      <c r="M210" s="14">
        <f>IF($AE210="","",IFERROR(INDEX(Players!$K$2:$K$301,$AE210),""))</f>
        <v/>
      </c>
      <c r="N210" s="14">
        <f>IF($AE210="","",IFERROR(INDEX(Players!$H$2:$H$301,$AE210),""))</f>
        <v/>
      </c>
      <c r="O210" s="15">
        <f>IF($AE210="","",IFERROR(INDEX(Players!$G$2:$G$301,$AE210),""))</f>
        <v/>
      </c>
      <c r="P210" s="14">
        <f>IF($AE210="","",IFERROR(INDEX(Players!$I$2:$I$301,$AE210),""))</f>
        <v/>
      </c>
      <c r="Q210" s="14">
        <f>IF($AE210="","",IFERROR(INDEX(Players!$F$2:$F$301,$AE210),""))</f>
        <v/>
      </c>
      <c r="R210" s="14">
        <f>IF($AE210="","",IFERROR(INDEX(Players!$J$2:$J$301,$AE210),""))</f>
        <v/>
      </c>
      <c r="S210" s="15">
        <f>IF($AE210="","",IFERROR(INDEX(Players!$L$2:$L$301,$AE210),""))</f>
        <v/>
      </c>
      <c r="T210" s="14">
        <f>IF($AE210="","",IFERROR(INDEX(Players!$M$2:$M$301,$AE210),""))</f>
        <v/>
      </c>
      <c r="U210" s="14">
        <f>IF($AE210="","",IFERROR(INDEX(Players!$N$2:$N$301,$AE210),""))</f>
        <v/>
      </c>
      <c r="V210" s="14">
        <f>IF($AE210="","",IFERROR(INDEX(Players!$O$2:$O$301,$AE210),""))</f>
        <v/>
      </c>
      <c r="W210" s="14">
        <f>IF($AE210="","",IFERROR(INDEX(Players!$P$2:$P$301,$AE210),""))</f>
        <v/>
      </c>
      <c r="X210" s="14">
        <f>IF($AE210="","",IFERROR(INDEX(Players!$Q$2:$Q$301,$AE210),""))</f>
        <v/>
      </c>
      <c r="Y210" s="14">
        <f>IF($AE210="","",IFERROR(INDEX(Players!$R$2:$R$301,$AE210),""))</f>
        <v/>
      </c>
      <c r="AE210">
        <f>IFERROR(MATCH(LARGE(Players!$V$2:$V$301,206),Players!$V$2:$V$301,0),"")</f>
        <v/>
      </c>
    </row>
    <row r="211">
      <c r="E211" s="9" t="n">
        <v>207</v>
      </c>
      <c r="F211">
        <f>IF($AE211="","",IFERROR(INDEX(Players!$B$2:$B$301,$AE211),""))</f>
        <v/>
      </c>
      <c r="G211">
        <f>IF($AE211="","",IFERROR(INDEX(Players!$D$2:$D$301,$AE211),""))</f>
        <v/>
      </c>
      <c r="H211">
        <f>IF($AE211="","",IFERROR(INDEX(Players!$C$2:$C$301,$AE211),""))</f>
        <v/>
      </c>
      <c r="I211" s="12">
        <f>IF($AE211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-207+0.5)/3.5))))</f>
        <v/>
      </c>
      <c r="J211" s="12">
        <f>IF($AE211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-207+0.5)/3.5))))</f>
        <v/>
      </c>
      <c r="K211" s="13">
        <f>IF($AE211="","",IFERROR(INDEX(Players!$U$2:$U$301,$AE211),""))</f>
        <v/>
      </c>
      <c r="L211" s="13">
        <f>IF($AE211="","",IFERROR(INDEX(Players!$X$2:$X$301,$AE211),""))</f>
        <v/>
      </c>
      <c r="M211" s="14">
        <f>IF($AE211="","",IFERROR(INDEX(Players!$K$2:$K$301,$AE211),""))</f>
        <v/>
      </c>
      <c r="N211" s="14">
        <f>IF($AE211="","",IFERROR(INDEX(Players!$H$2:$H$301,$AE211),""))</f>
        <v/>
      </c>
      <c r="O211" s="15">
        <f>IF($AE211="","",IFERROR(INDEX(Players!$G$2:$G$301,$AE211),""))</f>
        <v/>
      </c>
      <c r="P211" s="14">
        <f>IF($AE211="","",IFERROR(INDEX(Players!$I$2:$I$301,$AE211),""))</f>
        <v/>
      </c>
      <c r="Q211" s="14">
        <f>IF($AE211="","",IFERROR(INDEX(Players!$F$2:$F$301,$AE211),""))</f>
        <v/>
      </c>
      <c r="R211" s="14">
        <f>IF($AE211="","",IFERROR(INDEX(Players!$J$2:$J$301,$AE211),""))</f>
        <v/>
      </c>
      <c r="S211" s="15">
        <f>IF($AE211="","",IFERROR(INDEX(Players!$L$2:$L$301,$AE211),""))</f>
        <v/>
      </c>
      <c r="T211" s="14">
        <f>IF($AE211="","",IFERROR(INDEX(Players!$M$2:$M$301,$AE211),""))</f>
        <v/>
      </c>
      <c r="U211" s="14">
        <f>IF($AE211="","",IFERROR(INDEX(Players!$N$2:$N$301,$AE211),""))</f>
        <v/>
      </c>
      <c r="V211" s="14">
        <f>IF($AE211="","",IFERROR(INDEX(Players!$O$2:$O$301,$AE211),""))</f>
        <v/>
      </c>
      <c r="W211" s="14">
        <f>IF($AE211="","",IFERROR(INDEX(Players!$P$2:$P$301,$AE211),""))</f>
        <v/>
      </c>
      <c r="X211" s="14">
        <f>IF($AE211="","",IFERROR(INDEX(Players!$Q$2:$Q$301,$AE211),""))</f>
        <v/>
      </c>
      <c r="Y211" s="14">
        <f>IF($AE211="","",IFERROR(INDEX(Players!$R$2:$R$301,$AE211),""))</f>
        <v/>
      </c>
      <c r="AE211">
        <f>IFERROR(MATCH(LARGE(Players!$V$2:$V$301,207),Players!$V$2:$V$301,0),"")</f>
        <v/>
      </c>
    </row>
    <row r="212">
      <c r="E212" s="9" t="n">
        <v>208</v>
      </c>
      <c r="F212">
        <f>IF($AE212="","",IFERROR(INDEX(Players!$B$2:$B$301,$AE212),""))</f>
        <v/>
      </c>
      <c r="G212">
        <f>IF($AE212="","",IFERROR(INDEX(Players!$D$2:$D$301,$AE212),""))</f>
        <v/>
      </c>
      <c r="H212">
        <f>IF($AE212="","",IFERROR(INDEX(Players!$C$2:$C$301,$AE212),""))</f>
        <v/>
      </c>
      <c r="I212" s="12">
        <f>IF($AE212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-208+0.5)/3.5))))</f>
        <v/>
      </c>
      <c r="J212" s="12">
        <f>IF($AE212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-208+0.5)/3.5))))</f>
        <v/>
      </c>
      <c r="K212" s="13">
        <f>IF($AE212="","",IFERROR(INDEX(Players!$U$2:$U$301,$AE212),""))</f>
        <v/>
      </c>
      <c r="L212" s="13">
        <f>IF($AE212="","",IFERROR(INDEX(Players!$X$2:$X$301,$AE212),""))</f>
        <v/>
      </c>
      <c r="M212" s="14">
        <f>IF($AE212="","",IFERROR(INDEX(Players!$K$2:$K$301,$AE212),""))</f>
        <v/>
      </c>
      <c r="N212" s="14">
        <f>IF($AE212="","",IFERROR(INDEX(Players!$H$2:$H$301,$AE212),""))</f>
        <v/>
      </c>
      <c r="O212" s="15">
        <f>IF($AE212="","",IFERROR(INDEX(Players!$G$2:$G$301,$AE212),""))</f>
        <v/>
      </c>
      <c r="P212" s="14">
        <f>IF($AE212="","",IFERROR(INDEX(Players!$I$2:$I$301,$AE212),""))</f>
        <v/>
      </c>
      <c r="Q212" s="14">
        <f>IF($AE212="","",IFERROR(INDEX(Players!$F$2:$F$301,$AE212),""))</f>
        <v/>
      </c>
      <c r="R212" s="14">
        <f>IF($AE212="","",IFERROR(INDEX(Players!$J$2:$J$301,$AE212),""))</f>
        <v/>
      </c>
      <c r="S212" s="15">
        <f>IF($AE212="","",IFERROR(INDEX(Players!$L$2:$L$301,$AE212),""))</f>
        <v/>
      </c>
      <c r="T212" s="14">
        <f>IF($AE212="","",IFERROR(INDEX(Players!$M$2:$M$301,$AE212),""))</f>
        <v/>
      </c>
      <c r="U212" s="14">
        <f>IF($AE212="","",IFERROR(INDEX(Players!$N$2:$N$301,$AE212),""))</f>
        <v/>
      </c>
      <c r="V212" s="14">
        <f>IF($AE212="","",IFERROR(INDEX(Players!$O$2:$O$301,$AE212),""))</f>
        <v/>
      </c>
      <c r="W212" s="14">
        <f>IF($AE212="","",IFERROR(INDEX(Players!$P$2:$P$301,$AE212),""))</f>
        <v/>
      </c>
      <c r="X212" s="14">
        <f>IF($AE212="","",IFERROR(INDEX(Players!$Q$2:$Q$301,$AE212),""))</f>
        <v/>
      </c>
      <c r="Y212" s="14">
        <f>IF($AE212="","",IFERROR(INDEX(Players!$R$2:$R$301,$AE212),""))</f>
        <v/>
      </c>
      <c r="AE212">
        <f>IFERROR(MATCH(LARGE(Players!$V$2:$V$301,208),Players!$V$2:$V$301,0),"")</f>
        <v/>
      </c>
    </row>
    <row r="213">
      <c r="E213" s="9" t="n">
        <v>209</v>
      </c>
      <c r="F213">
        <f>IF($AE213="","",IFERROR(INDEX(Players!$B$2:$B$301,$AE213),""))</f>
        <v/>
      </c>
      <c r="G213">
        <f>IF($AE213="","",IFERROR(INDEX(Players!$D$2:$D$301,$AE213),""))</f>
        <v/>
      </c>
      <c r="H213">
        <f>IF($AE213="","",IFERROR(INDEX(Players!$C$2:$C$301,$AE213),""))</f>
        <v/>
      </c>
      <c r="I213" s="12">
        <f>IF($AE213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-209+0.5)/3.5))))</f>
        <v/>
      </c>
      <c r="J213" s="12">
        <f>IF($AE213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-209+0.5)/3.5))))</f>
        <v/>
      </c>
      <c r="K213" s="13">
        <f>IF($AE213="","",IFERROR(INDEX(Players!$U$2:$U$301,$AE213),""))</f>
        <v/>
      </c>
      <c r="L213" s="13">
        <f>IF($AE213="","",IFERROR(INDEX(Players!$X$2:$X$301,$AE213),""))</f>
        <v/>
      </c>
      <c r="M213" s="14">
        <f>IF($AE213="","",IFERROR(INDEX(Players!$K$2:$K$301,$AE213),""))</f>
        <v/>
      </c>
      <c r="N213" s="14">
        <f>IF($AE213="","",IFERROR(INDEX(Players!$H$2:$H$301,$AE213),""))</f>
        <v/>
      </c>
      <c r="O213" s="15">
        <f>IF($AE213="","",IFERROR(INDEX(Players!$G$2:$G$301,$AE213),""))</f>
        <v/>
      </c>
      <c r="P213" s="14">
        <f>IF($AE213="","",IFERROR(INDEX(Players!$I$2:$I$301,$AE213),""))</f>
        <v/>
      </c>
      <c r="Q213" s="14">
        <f>IF($AE213="","",IFERROR(INDEX(Players!$F$2:$F$301,$AE213),""))</f>
        <v/>
      </c>
      <c r="R213" s="14">
        <f>IF($AE213="","",IFERROR(INDEX(Players!$J$2:$J$301,$AE213),""))</f>
        <v/>
      </c>
      <c r="S213" s="15">
        <f>IF($AE213="","",IFERROR(INDEX(Players!$L$2:$L$301,$AE213),""))</f>
        <v/>
      </c>
      <c r="T213" s="14">
        <f>IF($AE213="","",IFERROR(INDEX(Players!$M$2:$M$301,$AE213),""))</f>
        <v/>
      </c>
      <c r="U213" s="14">
        <f>IF($AE213="","",IFERROR(INDEX(Players!$N$2:$N$301,$AE213),""))</f>
        <v/>
      </c>
      <c r="V213" s="14">
        <f>IF($AE213="","",IFERROR(INDEX(Players!$O$2:$O$301,$AE213),""))</f>
        <v/>
      </c>
      <c r="W213" s="14">
        <f>IF($AE213="","",IFERROR(INDEX(Players!$P$2:$P$301,$AE213),""))</f>
        <v/>
      </c>
      <c r="X213" s="14">
        <f>IF($AE213="","",IFERROR(INDEX(Players!$Q$2:$Q$301,$AE213),""))</f>
        <v/>
      </c>
      <c r="Y213" s="14">
        <f>IF($AE213="","",IFERROR(INDEX(Players!$R$2:$R$301,$AE213),""))</f>
        <v/>
      </c>
      <c r="AE213">
        <f>IFERROR(MATCH(LARGE(Players!$V$2:$V$301,209),Players!$V$2:$V$301,0),"")</f>
        <v/>
      </c>
    </row>
    <row r="214">
      <c r="E214" s="9" t="n">
        <v>210</v>
      </c>
      <c r="F214">
        <f>IF($AE214="","",IFERROR(INDEX(Players!$B$2:$B$301,$AE214),""))</f>
        <v/>
      </c>
      <c r="G214">
        <f>IF($AE214="","",IFERROR(INDEX(Players!$D$2:$D$301,$AE214),""))</f>
        <v/>
      </c>
      <c r="H214">
        <f>IF($AE214="","",IFERROR(INDEX(Players!$C$2:$C$301,$AE214),""))</f>
        <v/>
      </c>
      <c r="I214" s="12">
        <f>IF($AE214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-210+0.5)/3.5))))</f>
        <v/>
      </c>
      <c r="J214" s="12">
        <f>IF($AE214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-210+0.5)/3.5))))</f>
        <v/>
      </c>
      <c r="K214" s="13">
        <f>IF($AE214="","",IFERROR(INDEX(Players!$U$2:$U$301,$AE214),""))</f>
        <v/>
      </c>
      <c r="L214" s="13">
        <f>IF($AE214="","",IFERROR(INDEX(Players!$X$2:$X$301,$AE214),""))</f>
        <v/>
      </c>
      <c r="M214" s="14">
        <f>IF($AE214="","",IFERROR(INDEX(Players!$K$2:$K$301,$AE214),""))</f>
        <v/>
      </c>
      <c r="N214" s="14">
        <f>IF($AE214="","",IFERROR(INDEX(Players!$H$2:$H$301,$AE214),""))</f>
        <v/>
      </c>
      <c r="O214" s="15">
        <f>IF($AE214="","",IFERROR(INDEX(Players!$G$2:$G$301,$AE214),""))</f>
        <v/>
      </c>
      <c r="P214" s="14">
        <f>IF($AE214="","",IFERROR(INDEX(Players!$I$2:$I$301,$AE214),""))</f>
        <v/>
      </c>
      <c r="Q214" s="14">
        <f>IF($AE214="","",IFERROR(INDEX(Players!$F$2:$F$301,$AE214),""))</f>
        <v/>
      </c>
      <c r="R214" s="14">
        <f>IF($AE214="","",IFERROR(INDEX(Players!$J$2:$J$301,$AE214),""))</f>
        <v/>
      </c>
      <c r="S214" s="15">
        <f>IF($AE214="","",IFERROR(INDEX(Players!$L$2:$L$301,$AE214),""))</f>
        <v/>
      </c>
      <c r="T214" s="14">
        <f>IF($AE214="","",IFERROR(INDEX(Players!$M$2:$M$301,$AE214),""))</f>
        <v/>
      </c>
      <c r="U214" s="14">
        <f>IF($AE214="","",IFERROR(INDEX(Players!$N$2:$N$301,$AE214),""))</f>
        <v/>
      </c>
      <c r="V214" s="14">
        <f>IF($AE214="","",IFERROR(INDEX(Players!$O$2:$O$301,$AE214),""))</f>
        <v/>
      </c>
      <c r="W214" s="14">
        <f>IF($AE214="","",IFERROR(INDEX(Players!$P$2:$P$301,$AE214),""))</f>
        <v/>
      </c>
      <c r="X214" s="14">
        <f>IF($AE214="","",IFERROR(INDEX(Players!$Q$2:$Q$301,$AE214),""))</f>
        <v/>
      </c>
      <c r="Y214" s="14">
        <f>IF($AE214="","",IFERROR(INDEX(Players!$R$2:$R$301,$AE214),""))</f>
        <v/>
      </c>
      <c r="AE214">
        <f>IFERROR(MATCH(LARGE(Players!$V$2:$V$301,210),Players!$V$2:$V$301,0),"")</f>
        <v/>
      </c>
    </row>
    <row r="215">
      <c r="E215" s="9" t="n">
        <v>211</v>
      </c>
      <c r="F215">
        <f>IF($AE215="","",IFERROR(INDEX(Players!$B$2:$B$301,$AE215),""))</f>
        <v/>
      </c>
      <c r="G215">
        <f>IF($AE215="","",IFERROR(INDEX(Players!$D$2:$D$301,$AE215),""))</f>
        <v/>
      </c>
      <c r="H215">
        <f>IF($AE215="","",IFERROR(INDEX(Players!$C$2:$C$301,$AE215),""))</f>
        <v/>
      </c>
      <c r="I215" s="12">
        <f>IF($AE215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-211+0.5)/3.5))))</f>
        <v/>
      </c>
      <c r="J215" s="12">
        <f>IF($AE215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-211+0.5)/3.5))))</f>
        <v/>
      </c>
      <c r="K215" s="13">
        <f>IF($AE215="","",IFERROR(INDEX(Players!$U$2:$U$301,$AE215),""))</f>
        <v/>
      </c>
      <c r="L215" s="13">
        <f>IF($AE215="","",IFERROR(INDEX(Players!$X$2:$X$301,$AE215),""))</f>
        <v/>
      </c>
      <c r="M215" s="14">
        <f>IF($AE215="","",IFERROR(INDEX(Players!$K$2:$K$301,$AE215),""))</f>
        <v/>
      </c>
      <c r="N215" s="14">
        <f>IF($AE215="","",IFERROR(INDEX(Players!$H$2:$H$301,$AE215),""))</f>
        <v/>
      </c>
      <c r="O215" s="15">
        <f>IF($AE215="","",IFERROR(INDEX(Players!$G$2:$G$301,$AE215),""))</f>
        <v/>
      </c>
      <c r="P215" s="14">
        <f>IF($AE215="","",IFERROR(INDEX(Players!$I$2:$I$301,$AE215),""))</f>
        <v/>
      </c>
      <c r="Q215" s="14">
        <f>IF($AE215="","",IFERROR(INDEX(Players!$F$2:$F$301,$AE215),""))</f>
        <v/>
      </c>
      <c r="R215" s="14">
        <f>IF($AE215="","",IFERROR(INDEX(Players!$J$2:$J$301,$AE215),""))</f>
        <v/>
      </c>
      <c r="S215" s="15">
        <f>IF($AE215="","",IFERROR(INDEX(Players!$L$2:$L$301,$AE215),""))</f>
        <v/>
      </c>
      <c r="T215" s="14">
        <f>IF($AE215="","",IFERROR(INDEX(Players!$M$2:$M$301,$AE215),""))</f>
        <v/>
      </c>
      <c r="U215" s="14">
        <f>IF($AE215="","",IFERROR(INDEX(Players!$N$2:$N$301,$AE215),""))</f>
        <v/>
      </c>
      <c r="V215" s="14">
        <f>IF($AE215="","",IFERROR(INDEX(Players!$O$2:$O$301,$AE215),""))</f>
        <v/>
      </c>
      <c r="W215" s="14">
        <f>IF($AE215="","",IFERROR(INDEX(Players!$P$2:$P$301,$AE215),""))</f>
        <v/>
      </c>
      <c r="X215" s="14">
        <f>IF($AE215="","",IFERROR(INDEX(Players!$Q$2:$Q$301,$AE215),""))</f>
        <v/>
      </c>
      <c r="Y215" s="14">
        <f>IF($AE215="","",IFERROR(INDEX(Players!$R$2:$R$301,$AE215),""))</f>
        <v/>
      </c>
      <c r="AE215">
        <f>IFERROR(MATCH(LARGE(Players!$V$2:$V$301,211),Players!$V$2:$V$301,0),"")</f>
        <v/>
      </c>
    </row>
    <row r="216">
      <c r="E216" s="9" t="n">
        <v>212</v>
      </c>
      <c r="F216">
        <f>IF($AE216="","",IFERROR(INDEX(Players!$B$2:$B$301,$AE216),""))</f>
        <v/>
      </c>
      <c r="G216">
        <f>IF($AE216="","",IFERROR(INDEX(Players!$D$2:$D$301,$AE216),""))</f>
        <v/>
      </c>
      <c r="H216">
        <f>IF($AE216="","",IFERROR(INDEX(Players!$C$2:$C$301,$AE216),""))</f>
        <v/>
      </c>
      <c r="I216" s="12">
        <f>IF($AE216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-212+0.5)/3.5))))</f>
        <v/>
      </c>
      <c r="J216" s="12">
        <f>IF($AE216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-212+0.5)/3.5))))</f>
        <v/>
      </c>
      <c r="K216" s="13">
        <f>IF($AE216="","",IFERROR(INDEX(Players!$U$2:$U$301,$AE216),""))</f>
        <v/>
      </c>
      <c r="L216" s="13">
        <f>IF($AE216="","",IFERROR(INDEX(Players!$X$2:$X$301,$AE216),""))</f>
        <v/>
      </c>
      <c r="M216" s="14">
        <f>IF($AE216="","",IFERROR(INDEX(Players!$K$2:$K$301,$AE216),""))</f>
        <v/>
      </c>
      <c r="N216" s="14">
        <f>IF($AE216="","",IFERROR(INDEX(Players!$H$2:$H$301,$AE216),""))</f>
        <v/>
      </c>
      <c r="O216" s="15">
        <f>IF($AE216="","",IFERROR(INDEX(Players!$G$2:$G$301,$AE216),""))</f>
        <v/>
      </c>
      <c r="P216" s="14">
        <f>IF($AE216="","",IFERROR(INDEX(Players!$I$2:$I$301,$AE216),""))</f>
        <v/>
      </c>
      <c r="Q216" s="14">
        <f>IF($AE216="","",IFERROR(INDEX(Players!$F$2:$F$301,$AE216),""))</f>
        <v/>
      </c>
      <c r="R216" s="14">
        <f>IF($AE216="","",IFERROR(INDEX(Players!$J$2:$J$301,$AE216),""))</f>
        <v/>
      </c>
      <c r="S216" s="15">
        <f>IF($AE216="","",IFERROR(INDEX(Players!$L$2:$L$301,$AE216),""))</f>
        <v/>
      </c>
      <c r="T216" s="14">
        <f>IF($AE216="","",IFERROR(INDEX(Players!$M$2:$M$301,$AE216),""))</f>
        <v/>
      </c>
      <c r="U216" s="14">
        <f>IF($AE216="","",IFERROR(INDEX(Players!$N$2:$N$301,$AE216),""))</f>
        <v/>
      </c>
      <c r="V216" s="14">
        <f>IF($AE216="","",IFERROR(INDEX(Players!$O$2:$O$301,$AE216),""))</f>
        <v/>
      </c>
      <c r="W216" s="14">
        <f>IF($AE216="","",IFERROR(INDEX(Players!$P$2:$P$301,$AE216),""))</f>
        <v/>
      </c>
      <c r="X216" s="14">
        <f>IF($AE216="","",IFERROR(INDEX(Players!$Q$2:$Q$301,$AE216),""))</f>
        <v/>
      </c>
      <c r="Y216" s="14">
        <f>IF($AE216="","",IFERROR(INDEX(Players!$R$2:$R$301,$AE216),""))</f>
        <v/>
      </c>
      <c r="AE216">
        <f>IFERROR(MATCH(LARGE(Players!$V$2:$V$301,212),Players!$V$2:$V$301,0),"")</f>
        <v/>
      </c>
    </row>
    <row r="217">
      <c r="E217" s="9" t="n">
        <v>213</v>
      </c>
      <c r="F217">
        <f>IF($AE217="","",IFERROR(INDEX(Players!$B$2:$B$301,$AE217),""))</f>
        <v/>
      </c>
      <c r="G217">
        <f>IF($AE217="","",IFERROR(INDEX(Players!$D$2:$D$301,$AE217),""))</f>
        <v/>
      </c>
      <c r="H217">
        <f>IF($AE217="","",IFERROR(INDEX(Players!$C$2:$C$301,$AE217),""))</f>
        <v/>
      </c>
      <c r="I217" s="12">
        <f>IF($AE217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-213+0.5)/3.5))))</f>
        <v/>
      </c>
      <c r="J217" s="12">
        <f>IF($AE217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-213+0.5)/3.5))))</f>
        <v/>
      </c>
      <c r="K217" s="13">
        <f>IF($AE217="","",IFERROR(INDEX(Players!$U$2:$U$301,$AE217),""))</f>
        <v/>
      </c>
      <c r="L217" s="13">
        <f>IF($AE217="","",IFERROR(INDEX(Players!$X$2:$X$301,$AE217),""))</f>
        <v/>
      </c>
      <c r="M217" s="14">
        <f>IF($AE217="","",IFERROR(INDEX(Players!$K$2:$K$301,$AE217),""))</f>
        <v/>
      </c>
      <c r="N217" s="14">
        <f>IF($AE217="","",IFERROR(INDEX(Players!$H$2:$H$301,$AE217),""))</f>
        <v/>
      </c>
      <c r="O217" s="15">
        <f>IF($AE217="","",IFERROR(INDEX(Players!$G$2:$G$301,$AE217),""))</f>
        <v/>
      </c>
      <c r="P217" s="14">
        <f>IF($AE217="","",IFERROR(INDEX(Players!$I$2:$I$301,$AE217),""))</f>
        <v/>
      </c>
      <c r="Q217" s="14">
        <f>IF($AE217="","",IFERROR(INDEX(Players!$F$2:$F$301,$AE217),""))</f>
        <v/>
      </c>
      <c r="R217" s="14">
        <f>IF($AE217="","",IFERROR(INDEX(Players!$J$2:$J$301,$AE217),""))</f>
        <v/>
      </c>
      <c r="S217" s="15">
        <f>IF($AE217="","",IFERROR(INDEX(Players!$L$2:$L$301,$AE217),""))</f>
        <v/>
      </c>
      <c r="T217" s="14">
        <f>IF($AE217="","",IFERROR(INDEX(Players!$M$2:$M$301,$AE217),""))</f>
        <v/>
      </c>
      <c r="U217" s="14">
        <f>IF($AE217="","",IFERROR(INDEX(Players!$N$2:$N$301,$AE217),""))</f>
        <v/>
      </c>
      <c r="V217" s="14">
        <f>IF($AE217="","",IFERROR(INDEX(Players!$O$2:$O$301,$AE217),""))</f>
        <v/>
      </c>
      <c r="W217" s="14">
        <f>IF($AE217="","",IFERROR(INDEX(Players!$P$2:$P$301,$AE217),""))</f>
        <v/>
      </c>
      <c r="X217" s="14">
        <f>IF($AE217="","",IFERROR(INDEX(Players!$Q$2:$Q$301,$AE217),""))</f>
        <v/>
      </c>
      <c r="Y217" s="14">
        <f>IF($AE217="","",IFERROR(INDEX(Players!$R$2:$R$301,$AE217),""))</f>
        <v/>
      </c>
      <c r="AE217">
        <f>IFERROR(MATCH(LARGE(Players!$V$2:$V$301,213),Players!$V$2:$V$301,0),"")</f>
        <v/>
      </c>
    </row>
    <row r="218">
      <c r="E218" s="9" t="n">
        <v>214</v>
      </c>
      <c r="F218">
        <f>IF($AE218="","",IFERROR(INDEX(Players!$B$2:$B$301,$AE218),""))</f>
        <v/>
      </c>
      <c r="G218">
        <f>IF($AE218="","",IFERROR(INDEX(Players!$D$2:$D$301,$AE218),""))</f>
        <v/>
      </c>
      <c r="H218">
        <f>IF($AE218="","",IFERROR(INDEX(Players!$C$2:$C$301,$AE218),""))</f>
        <v/>
      </c>
      <c r="I218" s="12">
        <f>IF($AE218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-214+0.5)/3.5))))</f>
        <v/>
      </c>
      <c r="J218" s="12">
        <f>IF($AE218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-214+0.5)/3.5))))</f>
        <v/>
      </c>
      <c r="K218" s="13">
        <f>IF($AE218="","",IFERROR(INDEX(Players!$U$2:$U$301,$AE218),""))</f>
        <v/>
      </c>
      <c r="L218" s="13">
        <f>IF($AE218="","",IFERROR(INDEX(Players!$X$2:$X$301,$AE218),""))</f>
        <v/>
      </c>
      <c r="M218" s="14">
        <f>IF($AE218="","",IFERROR(INDEX(Players!$K$2:$K$301,$AE218),""))</f>
        <v/>
      </c>
      <c r="N218" s="14">
        <f>IF($AE218="","",IFERROR(INDEX(Players!$H$2:$H$301,$AE218),""))</f>
        <v/>
      </c>
      <c r="O218" s="15">
        <f>IF($AE218="","",IFERROR(INDEX(Players!$G$2:$G$301,$AE218),""))</f>
        <v/>
      </c>
      <c r="P218" s="14">
        <f>IF($AE218="","",IFERROR(INDEX(Players!$I$2:$I$301,$AE218),""))</f>
        <v/>
      </c>
      <c r="Q218" s="14">
        <f>IF($AE218="","",IFERROR(INDEX(Players!$F$2:$F$301,$AE218),""))</f>
        <v/>
      </c>
      <c r="R218" s="14">
        <f>IF($AE218="","",IFERROR(INDEX(Players!$J$2:$J$301,$AE218),""))</f>
        <v/>
      </c>
      <c r="S218" s="15">
        <f>IF($AE218="","",IFERROR(INDEX(Players!$L$2:$L$301,$AE218),""))</f>
        <v/>
      </c>
      <c r="T218" s="14">
        <f>IF($AE218="","",IFERROR(INDEX(Players!$M$2:$M$301,$AE218),""))</f>
        <v/>
      </c>
      <c r="U218" s="14">
        <f>IF($AE218="","",IFERROR(INDEX(Players!$N$2:$N$301,$AE218),""))</f>
        <v/>
      </c>
      <c r="V218" s="14">
        <f>IF($AE218="","",IFERROR(INDEX(Players!$O$2:$O$301,$AE218),""))</f>
        <v/>
      </c>
      <c r="W218" s="14">
        <f>IF($AE218="","",IFERROR(INDEX(Players!$P$2:$P$301,$AE218),""))</f>
        <v/>
      </c>
      <c r="X218" s="14">
        <f>IF($AE218="","",IFERROR(INDEX(Players!$Q$2:$Q$301,$AE218),""))</f>
        <v/>
      </c>
      <c r="Y218" s="14">
        <f>IF($AE218="","",IFERROR(INDEX(Players!$R$2:$R$301,$AE218),""))</f>
        <v/>
      </c>
      <c r="AE218">
        <f>IFERROR(MATCH(LARGE(Players!$V$2:$V$301,214),Players!$V$2:$V$301,0),"")</f>
        <v/>
      </c>
    </row>
    <row r="219">
      <c r="E219" s="9" t="n">
        <v>215</v>
      </c>
      <c r="F219">
        <f>IF($AE219="","",IFERROR(INDEX(Players!$B$2:$B$301,$AE219),""))</f>
        <v/>
      </c>
      <c r="G219">
        <f>IF($AE219="","",IFERROR(INDEX(Players!$D$2:$D$301,$AE219),""))</f>
        <v/>
      </c>
      <c r="H219">
        <f>IF($AE219="","",IFERROR(INDEX(Players!$C$2:$C$301,$AE219),""))</f>
        <v/>
      </c>
      <c r="I219" s="12">
        <f>IF($AE219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-215+0.5)/3.5))))</f>
        <v/>
      </c>
      <c r="J219" s="12">
        <f>IF($AE219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-215+0.5)/3.5))))</f>
        <v/>
      </c>
      <c r="K219" s="13">
        <f>IF($AE219="","",IFERROR(INDEX(Players!$U$2:$U$301,$AE219),""))</f>
        <v/>
      </c>
      <c r="L219" s="13">
        <f>IF($AE219="","",IFERROR(INDEX(Players!$X$2:$X$301,$AE219),""))</f>
        <v/>
      </c>
      <c r="M219" s="14">
        <f>IF($AE219="","",IFERROR(INDEX(Players!$K$2:$K$301,$AE219),""))</f>
        <v/>
      </c>
      <c r="N219" s="14">
        <f>IF($AE219="","",IFERROR(INDEX(Players!$H$2:$H$301,$AE219),""))</f>
        <v/>
      </c>
      <c r="O219" s="15">
        <f>IF($AE219="","",IFERROR(INDEX(Players!$G$2:$G$301,$AE219),""))</f>
        <v/>
      </c>
      <c r="P219" s="14">
        <f>IF($AE219="","",IFERROR(INDEX(Players!$I$2:$I$301,$AE219),""))</f>
        <v/>
      </c>
      <c r="Q219" s="14">
        <f>IF($AE219="","",IFERROR(INDEX(Players!$F$2:$F$301,$AE219),""))</f>
        <v/>
      </c>
      <c r="R219" s="14">
        <f>IF($AE219="","",IFERROR(INDEX(Players!$J$2:$J$301,$AE219),""))</f>
        <v/>
      </c>
      <c r="S219" s="15">
        <f>IF($AE219="","",IFERROR(INDEX(Players!$L$2:$L$301,$AE219),""))</f>
        <v/>
      </c>
      <c r="T219" s="14">
        <f>IF($AE219="","",IFERROR(INDEX(Players!$M$2:$M$301,$AE219),""))</f>
        <v/>
      </c>
      <c r="U219" s="14">
        <f>IF($AE219="","",IFERROR(INDEX(Players!$N$2:$N$301,$AE219),""))</f>
        <v/>
      </c>
      <c r="V219" s="14">
        <f>IF($AE219="","",IFERROR(INDEX(Players!$O$2:$O$301,$AE219),""))</f>
        <v/>
      </c>
      <c r="W219" s="14">
        <f>IF($AE219="","",IFERROR(INDEX(Players!$P$2:$P$301,$AE219),""))</f>
        <v/>
      </c>
      <c r="X219" s="14">
        <f>IF($AE219="","",IFERROR(INDEX(Players!$Q$2:$Q$301,$AE219),""))</f>
        <v/>
      </c>
      <c r="Y219" s="14">
        <f>IF($AE219="","",IFERROR(INDEX(Players!$R$2:$R$301,$AE219),""))</f>
        <v/>
      </c>
      <c r="AE219">
        <f>IFERROR(MATCH(LARGE(Players!$V$2:$V$301,215),Players!$V$2:$V$301,0),"")</f>
        <v/>
      </c>
    </row>
    <row r="220">
      <c r="E220" s="9" t="n">
        <v>216</v>
      </c>
      <c r="F220">
        <f>IF($AE220="","",IFERROR(INDEX(Players!$B$2:$B$301,$AE220),""))</f>
        <v/>
      </c>
      <c r="G220">
        <f>IF($AE220="","",IFERROR(INDEX(Players!$D$2:$D$301,$AE220),""))</f>
        <v/>
      </c>
      <c r="H220">
        <f>IF($AE220="","",IFERROR(INDEX(Players!$C$2:$C$301,$AE220),""))</f>
        <v/>
      </c>
      <c r="I220" s="12">
        <f>IF($AE220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-216+0.5)/3.5))))</f>
        <v/>
      </c>
      <c r="J220" s="12">
        <f>IF($AE220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-216+0.5)/3.5))))</f>
        <v/>
      </c>
      <c r="K220" s="13">
        <f>IF($AE220="","",IFERROR(INDEX(Players!$U$2:$U$301,$AE220),""))</f>
        <v/>
      </c>
      <c r="L220" s="13">
        <f>IF($AE220="","",IFERROR(INDEX(Players!$X$2:$X$301,$AE220),""))</f>
        <v/>
      </c>
      <c r="M220" s="14">
        <f>IF($AE220="","",IFERROR(INDEX(Players!$K$2:$K$301,$AE220),""))</f>
        <v/>
      </c>
      <c r="N220" s="14">
        <f>IF($AE220="","",IFERROR(INDEX(Players!$H$2:$H$301,$AE220),""))</f>
        <v/>
      </c>
      <c r="O220" s="15">
        <f>IF($AE220="","",IFERROR(INDEX(Players!$G$2:$G$301,$AE220),""))</f>
        <v/>
      </c>
      <c r="P220" s="14">
        <f>IF($AE220="","",IFERROR(INDEX(Players!$I$2:$I$301,$AE220),""))</f>
        <v/>
      </c>
      <c r="Q220" s="14">
        <f>IF($AE220="","",IFERROR(INDEX(Players!$F$2:$F$301,$AE220),""))</f>
        <v/>
      </c>
      <c r="R220" s="14">
        <f>IF($AE220="","",IFERROR(INDEX(Players!$J$2:$J$301,$AE220),""))</f>
        <v/>
      </c>
      <c r="S220" s="15">
        <f>IF($AE220="","",IFERROR(INDEX(Players!$L$2:$L$301,$AE220),""))</f>
        <v/>
      </c>
      <c r="T220" s="14">
        <f>IF($AE220="","",IFERROR(INDEX(Players!$M$2:$M$301,$AE220),""))</f>
        <v/>
      </c>
      <c r="U220" s="14">
        <f>IF($AE220="","",IFERROR(INDEX(Players!$N$2:$N$301,$AE220),""))</f>
        <v/>
      </c>
      <c r="V220" s="14">
        <f>IF($AE220="","",IFERROR(INDEX(Players!$O$2:$O$301,$AE220),""))</f>
        <v/>
      </c>
      <c r="W220" s="14">
        <f>IF($AE220="","",IFERROR(INDEX(Players!$P$2:$P$301,$AE220),""))</f>
        <v/>
      </c>
      <c r="X220" s="14">
        <f>IF($AE220="","",IFERROR(INDEX(Players!$Q$2:$Q$301,$AE220),""))</f>
        <v/>
      </c>
      <c r="Y220" s="14">
        <f>IF($AE220="","",IFERROR(INDEX(Players!$R$2:$R$301,$AE220),""))</f>
        <v/>
      </c>
      <c r="AE220">
        <f>IFERROR(MATCH(LARGE(Players!$V$2:$V$301,216),Players!$V$2:$V$301,0),"")</f>
        <v/>
      </c>
    </row>
    <row r="221">
      <c r="E221" s="9" t="n">
        <v>217</v>
      </c>
      <c r="F221">
        <f>IF($AE221="","",IFERROR(INDEX(Players!$B$2:$B$301,$AE221),""))</f>
        <v/>
      </c>
      <c r="G221">
        <f>IF($AE221="","",IFERROR(INDEX(Players!$D$2:$D$301,$AE221),""))</f>
        <v/>
      </c>
      <c r="H221">
        <f>IF($AE221="","",IFERROR(INDEX(Players!$C$2:$C$301,$AE221),""))</f>
        <v/>
      </c>
      <c r="I221" s="12">
        <f>IF($AE221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-217+0.5)/3.5))))</f>
        <v/>
      </c>
      <c r="J221" s="12">
        <f>IF($AE221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-217+0.5)/3.5))))</f>
        <v/>
      </c>
      <c r="K221" s="13">
        <f>IF($AE221="","",IFERROR(INDEX(Players!$U$2:$U$301,$AE221),""))</f>
        <v/>
      </c>
      <c r="L221" s="13">
        <f>IF($AE221="","",IFERROR(INDEX(Players!$X$2:$X$301,$AE221),""))</f>
        <v/>
      </c>
      <c r="M221" s="14">
        <f>IF($AE221="","",IFERROR(INDEX(Players!$K$2:$K$301,$AE221),""))</f>
        <v/>
      </c>
      <c r="N221" s="14">
        <f>IF($AE221="","",IFERROR(INDEX(Players!$H$2:$H$301,$AE221),""))</f>
        <v/>
      </c>
      <c r="O221" s="15">
        <f>IF($AE221="","",IFERROR(INDEX(Players!$G$2:$G$301,$AE221),""))</f>
        <v/>
      </c>
      <c r="P221" s="14">
        <f>IF($AE221="","",IFERROR(INDEX(Players!$I$2:$I$301,$AE221),""))</f>
        <v/>
      </c>
      <c r="Q221" s="14">
        <f>IF($AE221="","",IFERROR(INDEX(Players!$F$2:$F$301,$AE221),""))</f>
        <v/>
      </c>
      <c r="R221" s="14">
        <f>IF($AE221="","",IFERROR(INDEX(Players!$J$2:$J$301,$AE221),""))</f>
        <v/>
      </c>
      <c r="S221" s="15">
        <f>IF($AE221="","",IFERROR(INDEX(Players!$L$2:$L$301,$AE221),""))</f>
        <v/>
      </c>
      <c r="T221" s="14">
        <f>IF($AE221="","",IFERROR(INDEX(Players!$M$2:$M$301,$AE221),""))</f>
        <v/>
      </c>
      <c r="U221" s="14">
        <f>IF($AE221="","",IFERROR(INDEX(Players!$N$2:$N$301,$AE221),""))</f>
        <v/>
      </c>
      <c r="V221" s="14">
        <f>IF($AE221="","",IFERROR(INDEX(Players!$O$2:$O$301,$AE221),""))</f>
        <v/>
      </c>
      <c r="W221" s="14">
        <f>IF($AE221="","",IFERROR(INDEX(Players!$P$2:$P$301,$AE221),""))</f>
        <v/>
      </c>
      <c r="X221" s="14">
        <f>IF($AE221="","",IFERROR(INDEX(Players!$Q$2:$Q$301,$AE221),""))</f>
        <v/>
      </c>
      <c r="Y221" s="14">
        <f>IF($AE221="","",IFERROR(INDEX(Players!$R$2:$R$301,$AE221),""))</f>
        <v/>
      </c>
      <c r="AE221">
        <f>IFERROR(MATCH(LARGE(Players!$V$2:$V$301,217),Players!$V$2:$V$301,0),"")</f>
        <v/>
      </c>
    </row>
    <row r="222">
      <c r="E222" s="9" t="n">
        <v>218</v>
      </c>
      <c r="F222">
        <f>IF($AE222="","",IFERROR(INDEX(Players!$B$2:$B$301,$AE222),""))</f>
        <v/>
      </c>
      <c r="G222">
        <f>IF($AE222="","",IFERROR(INDEX(Players!$D$2:$D$301,$AE222),""))</f>
        <v/>
      </c>
      <c r="H222">
        <f>IF($AE222="","",IFERROR(INDEX(Players!$C$2:$C$301,$AE222),""))</f>
        <v/>
      </c>
      <c r="I222" s="12">
        <f>IF($AE222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-218+0.5)/3.5))))</f>
        <v/>
      </c>
      <c r="J222" s="12">
        <f>IF($AE222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-218+0.5)/3.5))))</f>
        <v/>
      </c>
      <c r="K222" s="13">
        <f>IF($AE222="","",IFERROR(INDEX(Players!$U$2:$U$301,$AE222),""))</f>
        <v/>
      </c>
      <c r="L222" s="13">
        <f>IF($AE222="","",IFERROR(INDEX(Players!$X$2:$X$301,$AE222),""))</f>
        <v/>
      </c>
      <c r="M222" s="14">
        <f>IF($AE222="","",IFERROR(INDEX(Players!$K$2:$K$301,$AE222),""))</f>
        <v/>
      </c>
      <c r="N222" s="14">
        <f>IF($AE222="","",IFERROR(INDEX(Players!$H$2:$H$301,$AE222),""))</f>
        <v/>
      </c>
      <c r="O222" s="15">
        <f>IF($AE222="","",IFERROR(INDEX(Players!$G$2:$G$301,$AE222),""))</f>
        <v/>
      </c>
      <c r="P222" s="14">
        <f>IF($AE222="","",IFERROR(INDEX(Players!$I$2:$I$301,$AE222),""))</f>
        <v/>
      </c>
      <c r="Q222" s="14">
        <f>IF($AE222="","",IFERROR(INDEX(Players!$F$2:$F$301,$AE222),""))</f>
        <v/>
      </c>
      <c r="R222" s="14">
        <f>IF($AE222="","",IFERROR(INDEX(Players!$J$2:$J$301,$AE222),""))</f>
        <v/>
      </c>
      <c r="S222" s="15">
        <f>IF($AE222="","",IFERROR(INDEX(Players!$L$2:$L$301,$AE222),""))</f>
        <v/>
      </c>
      <c r="T222" s="14">
        <f>IF($AE222="","",IFERROR(INDEX(Players!$M$2:$M$301,$AE222),""))</f>
        <v/>
      </c>
      <c r="U222" s="14">
        <f>IF($AE222="","",IFERROR(INDEX(Players!$N$2:$N$301,$AE222),""))</f>
        <v/>
      </c>
      <c r="V222" s="14">
        <f>IF($AE222="","",IFERROR(INDEX(Players!$O$2:$O$301,$AE222),""))</f>
        <v/>
      </c>
      <c r="W222" s="14">
        <f>IF($AE222="","",IFERROR(INDEX(Players!$P$2:$P$301,$AE222),""))</f>
        <v/>
      </c>
      <c r="X222" s="14">
        <f>IF($AE222="","",IFERROR(INDEX(Players!$Q$2:$Q$301,$AE222),""))</f>
        <v/>
      </c>
      <c r="Y222" s="14">
        <f>IF($AE222="","",IFERROR(INDEX(Players!$R$2:$R$301,$AE222),""))</f>
        <v/>
      </c>
      <c r="AE222">
        <f>IFERROR(MATCH(LARGE(Players!$V$2:$V$301,218),Players!$V$2:$V$301,0),"")</f>
        <v/>
      </c>
    </row>
    <row r="223">
      <c r="E223" s="9" t="n">
        <v>219</v>
      </c>
      <c r="F223">
        <f>IF($AE223="","",IFERROR(INDEX(Players!$B$2:$B$301,$AE223),""))</f>
        <v/>
      </c>
      <c r="G223">
        <f>IF($AE223="","",IFERROR(INDEX(Players!$D$2:$D$301,$AE223),""))</f>
        <v/>
      </c>
      <c r="H223">
        <f>IF($AE223="","",IFERROR(INDEX(Players!$C$2:$C$301,$AE223),""))</f>
        <v/>
      </c>
      <c r="I223" s="12">
        <f>IF($AE223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-219+0.5)/3.5))))</f>
        <v/>
      </c>
      <c r="J223" s="12">
        <f>IF($AE223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-219+0.5)/3.5))))</f>
        <v/>
      </c>
      <c r="K223" s="13">
        <f>IF($AE223="","",IFERROR(INDEX(Players!$U$2:$U$301,$AE223),""))</f>
        <v/>
      </c>
      <c r="L223" s="13">
        <f>IF($AE223="","",IFERROR(INDEX(Players!$X$2:$X$301,$AE223),""))</f>
        <v/>
      </c>
      <c r="M223" s="14">
        <f>IF($AE223="","",IFERROR(INDEX(Players!$K$2:$K$301,$AE223),""))</f>
        <v/>
      </c>
      <c r="N223" s="14">
        <f>IF($AE223="","",IFERROR(INDEX(Players!$H$2:$H$301,$AE223),""))</f>
        <v/>
      </c>
      <c r="O223" s="15">
        <f>IF($AE223="","",IFERROR(INDEX(Players!$G$2:$G$301,$AE223),""))</f>
        <v/>
      </c>
      <c r="P223" s="14">
        <f>IF($AE223="","",IFERROR(INDEX(Players!$I$2:$I$301,$AE223),""))</f>
        <v/>
      </c>
      <c r="Q223" s="14">
        <f>IF($AE223="","",IFERROR(INDEX(Players!$F$2:$F$301,$AE223),""))</f>
        <v/>
      </c>
      <c r="R223" s="14">
        <f>IF($AE223="","",IFERROR(INDEX(Players!$J$2:$J$301,$AE223),""))</f>
        <v/>
      </c>
      <c r="S223" s="15">
        <f>IF($AE223="","",IFERROR(INDEX(Players!$L$2:$L$301,$AE223),""))</f>
        <v/>
      </c>
      <c r="T223" s="14">
        <f>IF($AE223="","",IFERROR(INDEX(Players!$M$2:$M$301,$AE223),""))</f>
        <v/>
      </c>
      <c r="U223" s="14">
        <f>IF($AE223="","",IFERROR(INDEX(Players!$N$2:$N$301,$AE223),""))</f>
        <v/>
      </c>
      <c r="V223" s="14">
        <f>IF($AE223="","",IFERROR(INDEX(Players!$O$2:$O$301,$AE223),""))</f>
        <v/>
      </c>
      <c r="W223" s="14">
        <f>IF($AE223="","",IFERROR(INDEX(Players!$P$2:$P$301,$AE223),""))</f>
        <v/>
      </c>
      <c r="X223" s="14">
        <f>IF($AE223="","",IFERROR(INDEX(Players!$Q$2:$Q$301,$AE223),""))</f>
        <v/>
      </c>
      <c r="Y223" s="14">
        <f>IF($AE223="","",IFERROR(INDEX(Players!$R$2:$R$301,$AE223),""))</f>
        <v/>
      </c>
      <c r="AE223">
        <f>IFERROR(MATCH(LARGE(Players!$V$2:$V$301,219),Players!$V$2:$V$301,0),"")</f>
        <v/>
      </c>
    </row>
    <row r="224">
      <c r="E224" s="9" t="n">
        <v>220</v>
      </c>
      <c r="F224">
        <f>IF($AE224="","",IFERROR(INDEX(Players!$B$2:$B$301,$AE224),""))</f>
        <v/>
      </c>
      <c r="G224">
        <f>IF($AE224="","",IFERROR(INDEX(Players!$D$2:$D$301,$AE224),""))</f>
        <v/>
      </c>
      <c r="H224">
        <f>IF($AE224="","",IFERROR(INDEX(Players!$C$2:$C$301,$AE224),""))</f>
        <v/>
      </c>
      <c r="I224" s="12">
        <f>IF($AE224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-220+0.5)/3.5))))</f>
        <v/>
      </c>
      <c r="J224" s="12">
        <f>IF($AE224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-220+0.5)/3.5))))</f>
        <v/>
      </c>
      <c r="K224" s="13">
        <f>IF($AE224="","",IFERROR(INDEX(Players!$U$2:$U$301,$AE224),""))</f>
        <v/>
      </c>
      <c r="L224" s="13">
        <f>IF($AE224="","",IFERROR(INDEX(Players!$X$2:$X$301,$AE224),""))</f>
        <v/>
      </c>
      <c r="M224" s="14">
        <f>IF($AE224="","",IFERROR(INDEX(Players!$K$2:$K$301,$AE224),""))</f>
        <v/>
      </c>
      <c r="N224" s="14">
        <f>IF($AE224="","",IFERROR(INDEX(Players!$H$2:$H$301,$AE224),""))</f>
        <v/>
      </c>
      <c r="O224" s="15">
        <f>IF($AE224="","",IFERROR(INDEX(Players!$G$2:$G$301,$AE224),""))</f>
        <v/>
      </c>
      <c r="P224" s="14">
        <f>IF($AE224="","",IFERROR(INDEX(Players!$I$2:$I$301,$AE224),""))</f>
        <v/>
      </c>
      <c r="Q224" s="14">
        <f>IF($AE224="","",IFERROR(INDEX(Players!$F$2:$F$301,$AE224),""))</f>
        <v/>
      </c>
      <c r="R224" s="14">
        <f>IF($AE224="","",IFERROR(INDEX(Players!$J$2:$J$301,$AE224),""))</f>
        <v/>
      </c>
      <c r="S224" s="15">
        <f>IF($AE224="","",IFERROR(INDEX(Players!$L$2:$L$301,$AE224),""))</f>
        <v/>
      </c>
      <c r="T224" s="14">
        <f>IF($AE224="","",IFERROR(INDEX(Players!$M$2:$M$301,$AE224),""))</f>
        <v/>
      </c>
      <c r="U224" s="14">
        <f>IF($AE224="","",IFERROR(INDEX(Players!$N$2:$N$301,$AE224),""))</f>
        <v/>
      </c>
      <c r="V224" s="14">
        <f>IF($AE224="","",IFERROR(INDEX(Players!$O$2:$O$301,$AE224),""))</f>
        <v/>
      </c>
      <c r="W224" s="14">
        <f>IF($AE224="","",IFERROR(INDEX(Players!$P$2:$P$301,$AE224),""))</f>
        <v/>
      </c>
      <c r="X224" s="14">
        <f>IF($AE224="","",IFERROR(INDEX(Players!$Q$2:$Q$301,$AE224),""))</f>
        <v/>
      </c>
      <c r="Y224" s="14">
        <f>IF($AE224="","",IFERROR(INDEX(Players!$R$2:$R$301,$AE224),""))</f>
        <v/>
      </c>
      <c r="AE224">
        <f>IFERROR(MATCH(LARGE(Players!$V$2:$V$301,220),Players!$V$2:$V$301,0),"")</f>
        <v/>
      </c>
    </row>
    <row r="225">
      <c r="E225" s="9" t="n">
        <v>221</v>
      </c>
      <c r="F225">
        <f>IF($AE225="","",IFERROR(INDEX(Players!$B$2:$B$301,$AE225),""))</f>
        <v/>
      </c>
      <c r="G225">
        <f>IF($AE225="","",IFERROR(INDEX(Players!$D$2:$D$301,$AE225),""))</f>
        <v/>
      </c>
      <c r="H225">
        <f>IF($AE225="","",IFERROR(INDEX(Players!$C$2:$C$301,$AE225),""))</f>
        <v/>
      </c>
      <c r="I225" s="12">
        <f>IF($AE225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-221+0.5)/3.5))))</f>
        <v/>
      </c>
      <c r="J225" s="12">
        <f>IF($AE225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-221+0.5)/3.5))))</f>
        <v/>
      </c>
      <c r="K225" s="13">
        <f>IF($AE225="","",IFERROR(INDEX(Players!$U$2:$U$301,$AE225),""))</f>
        <v/>
      </c>
      <c r="L225" s="13">
        <f>IF($AE225="","",IFERROR(INDEX(Players!$X$2:$X$301,$AE225),""))</f>
        <v/>
      </c>
      <c r="M225" s="14">
        <f>IF($AE225="","",IFERROR(INDEX(Players!$K$2:$K$301,$AE225),""))</f>
        <v/>
      </c>
      <c r="N225" s="14">
        <f>IF($AE225="","",IFERROR(INDEX(Players!$H$2:$H$301,$AE225),""))</f>
        <v/>
      </c>
      <c r="O225" s="15">
        <f>IF($AE225="","",IFERROR(INDEX(Players!$G$2:$G$301,$AE225),""))</f>
        <v/>
      </c>
      <c r="P225" s="14">
        <f>IF($AE225="","",IFERROR(INDEX(Players!$I$2:$I$301,$AE225),""))</f>
        <v/>
      </c>
      <c r="Q225" s="14">
        <f>IF($AE225="","",IFERROR(INDEX(Players!$F$2:$F$301,$AE225),""))</f>
        <v/>
      </c>
      <c r="R225" s="14">
        <f>IF($AE225="","",IFERROR(INDEX(Players!$J$2:$J$301,$AE225),""))</f>
        <v/>
      </c>
      <c r="S225" s="15">
        <f>IF($AE225="","",IFERROR(INDEX(Players!$L$2:$L$301,$AE225),""))</f>
        <v/>
      </c>
      <c r="T225" s="14">
        <f>IF($AE225="","",IFERROR(INDEX(Players!$M$2:$M$301,$AE225),""))</f>
        <v/>
      </c>
      <c r="U225" s="14">
        <f>IF($AE225="","",IFERROR(INDEX(Players!$N$2:$N$301,$AE225),""))</f>
        <v/>
      </c>
      <c r="V225" s="14">
        <f>IF($AE225="","",IFERROR(INDEX(Players!$O$2:$O$301,$AE225),""))</f>
        <v/>
      </c>
      <c r="W225" s="14">
        <f>IF($AE225="","",IFERROR(INDEX(Players!$P$2:$P$301,$AE225),""))</f>
        <v/>
      </c>
      <c r="X225" s="14">
        <f>IF($AE225="","",IFERROR(INDEX(Players!$Q$2:$Q$301,$AE225),""))</f>
        <v/>
      </c>
      <c r="Y225" s="14">
        <f>IF($AE225="","",IFERROR(INDEX(Players!$R$2:$R$301,$AE225),""))</f>
        <v/>
      </c>
      <c r="AE225">
        <f>IFERROR(MATCH(LARGE(Players!$V$2:$V$301,221),Players!$V$2:$V$301,0),"")</f>
        <v/>
      </c>
    </row>
    <row r="226">
      <c r="E226" s="9" t="n">
        <v>222</v>
      </c>
      <c r="F226">
        <f>IF($AE226="","",IFERROR(INDEX(Players!$B$2:$B$301,$AE226),""))</f>
        <v/>
      </c>
      <c r="G226">
        <f>IF($AE226="","",IFERROR(INDEX(Players!$D$2:$D$301,$AE226),""))</f>
        <v/>
      </c>
      <c r="H226">
        <f>IF($AE226="","",IFERROR(INDEX(Players!$C$2:$C$301,$AE226),""))</f>
        <v/>
      </c>
      <c r="I226" s="12">
        <f>IF($AE226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-222+0.5)/3.5))))</f>
        <v/>
      </c>
      <c r="J226" s="12">
        <f>IF($AE226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-222+0.5)/3.5))))</f>
        <v/>
      </c>
      <c r="K226" s="13">
        <f>IF($AE226="","",IFERROR(INDEX(Players!$U$2:$U$301,$AE226),""))</f>
        <v/>
      </c>
      <c r="L226" s="13">
        <f>IF($AE226="","",IFERROR(INDEX(Players!$X$2:$X$301,$AE226),""))</f>
        <v/>
      </c>
      <c r="M226" s="14">
        <f>IF($AE226="","",IFERROR(INDEX(Players!$K$2:$K$301,$AE226),""))</f>
        <v/>
      </c>
      <c r="N226" s="14">
        <f>IF($AE226="","",IFERROR(INDEX(Players!$H$2:$H$301,$AE226),""))</f>
        <v/>
      </c>
      <c r="O226" s="15">
        <f>IF($AE226="","",IFERROR(INDEX(Players!$G$2:$G$301,$AE226),""))</f>
        <v/>
      </c>
      <c r="P226" s="14">
        <f>IF($AE226="","",IFERROR(INDEX(Players!$I$2:$I$301,$AE226),""))</f>
        <v/>
      </c>
      <c r="Q226" s="14">
        <f>IF($AE226="","",IFERROR(INDEX(Players!$F$2:$F$301,$AE226),""))</f>
        <v/>
      </c>
      <c r="R226" s="14">
        <f>IF($AE226="","",IFERROR(INDEX(Players!$J$2:$J$301,$AE226),""))</f>
        <v/>
      </c>
      <c r="S226" s="15">
        <f>IF($AE226="","",IFERROR(INDEX(Players!$L$2:$L$301,$AE226),""))</f>
        <v/>
      </c>
      <c r="T226" s="14">
        <f>IF($AE226="","",IFERROR(INDEX(Players!$M$2:$M$301,$AE226),""))</f>
        <v/>
      </c>
      <c r="U226" s="14">
        <f>IF($AE226="","",IFERROR(INDEX(Players!$N$2:$N$301,$AE226),""))</f>
        <v/>
      </c>
      <c r="V226" s="14">
        <f>IF($AE226="","",IFERROR(INDEX(Players!$O$2:$O$301,$AE226),""))</f>
        <v/>
      </c>
      <c r="W226" s="14">
        <f>IF($AE226="","",IFERROR(INDEX(Players!$P$2:$P$301,$AE226),""))</f>
        <v/>
      </c>
      <c r="X226" s="14">
        <f>IF($AE226="","",IFERROR(INDEX(Players!$Q$2:$Q$301,$AE226),""))</f>
        <v/>
      </c>
      <c r="Y226" s="14">
        <f>IF($AE226="","",IFERROR(INDEX(Players!$R$2:$R$301,$AE226),""))</f>
        <v/>
      </c>
      <c r="AE226">
        <f>IFERROR(MATCH(LARGE(Players!$V$2:$V$301,222),Players!$V$2:$V$301,0),"")</f>
        <v/>
      </c>
    </row>
    <row r="227">
      <c r="E227" s="9" t="n">
        <v>223</v>
      </c>
      <c r="F227">
        <f>IF($AE227="","",IFERROR(INDEX(Players!$B$2:$B$301,$AE227),""))</f>
        <v/>
      </c>
      <c r="G227">
        <f>IF($AE227="","",IFERROR(INDEX(Players!$D$2:$D$301,$AE227),""))</f>
        <v/>
      </c>
      <c r="H227">
        <f>IF($AE227="","",IFERROR(INDEX(Players!$C$2:$C$301,$AE227),""))</f>
        <v/>
      </c>
      <c r="I227" s="12">
        <f>IF($AE227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-223+0.5)/3.5))))</f>
        <v/>
      </c>
      <c r="J227" s="12">
        <f>IF($AE227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-223+0.5)/3.5))))</f>
        <v/>
      </c>
      <c r="K227" s="13">
        <f>IF($AE227="","",IFERROR(INDEX(Players!$U$2:$U$301,$AE227),""))</f>
        <v/>
      </c>
      <c r="L227" s="13">
        <f>IF($AE227="","",IFERROR(INDEX(Players!$X$2:$X$301,$AE227),""))</f>
        <v/>
      </c>
      <c r="M227" s="14">
        <f>IF($AE227="","",IFERROR(INDEX(Players!$K$2:$K$301,$AE227),""))</f>
        <v/>
      </c>
      <c r="N227" s="14">
        <f>IF($AE227="","",IFERROR(INDEX(Players!$H$2:$H$301,$AE227),""))</f>
        <v/>
      </c>
      <c r="O227" s="15">
        <f>IF($AE227="","",IFERROR(INDEX(Players!$G$2:$G$301,$AE227),""))</f>
        <v/>
      </c>
      <c r="P227" s="14">
        <f>IF($AE227="","",IFERROR(INDEX(Players!$I$2:$I$301,$AE227),""))</f>
        <v/>
      </c>
      <c r="Q227" s="14">
        <f>IF($AE227="","",IFERROR(INDEX(Players!$F$2:$F$301,$AE227),""))</f>
        <v/>
      </c>
      <c r="R227" s="14">
        <f>IF($AE227="","",IFERROR(INDEX(Players!$J$2:$J$301,$AE227),""))</f>
        <v/>
      </c>
      <c r="S227" s="15">
        <f>IF($AE227="","",IFERROR(INDEX(Players!$L$2:$L$301,$AE227),""))</f>
        <v/>
      </c>
      <c r="T227" s="14">
        <f>IF($AE227="","",IFERROR(INDEX(Players!$M$2:$M$301,$AE227),""))</f>
        <v/>
      </c>
      <c r="U227" s="14">
        <f>IF($AE227="","",IFERROR(INDEX(Players!$N$2:$N$301,$AE227),""))</f>
        <v/>
      </c>
      <c r="V227" s="14">
        <f>IF($AE227="","",IFERROR(INDEX(Players!$O$2:$O$301,$AE227),""))</f>
        <v/>
      </c>
      <c r="W227" s="14">
        <f>IF($AE227="","",IFERROR(INDEX(Players!$P$2:$P$301,$AE227),""))</f>
        <v/>
      </c>
      <c r="X227" s="14">
        <f>IF($AE227="","",IFERROR(INDEX(Players!$Q$2:$Q$301,$AE227),""))</f>
        <v/>
      </c>
      <c r="Y227" s="14">
        <f>IF($AE227="","",IFERROR(INDEX(Players!$R$2:$R$301,$AE227),""))</f>
        <v/>
      </c>
      <c r="AE227">
        <f>IFERROR(MATCH(LARGE(Players!$V$2:$V$301,223),Players!$V$2:$V$301,0),"")</f>
        <v/>
      </c>
    </row>
    <row r="228">
      <c r="E228" s="9" t="n">
        <v>224</v>
      </c>
      <c r="F228">
        <f>IF($AE228="","",IFERROR(INDEX(Players!$B$2:$B$301,$AE228),""))</f>
        <v/>
      </c>
      <c r="G228">
        <f>IF($AE228="","",IFERROR(INDEX(Players!$D$2:$D$301,$AE228),""))</f>
        <v/>
      </c>
      <c r="H228">
        <f>IF($AE228="","",IFERROR(INDEX(Players!$C$2:$C$301,$AE228),""))</f>
        <v/>
      </c>
      <c r="I228" s="12">
        <f>IF($AE228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-224+0.5)/3.5))))</f>
        <v/>
      </c>
      <c r="J228" s="12">
        <f>IF($AE228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-224+0.5)/3.5))))</f>
        <v/>
      </c>
      <c r="K228" s="13">
        <f>IF($AE228="","",IFERROR(INDEX(Players!$U$2:$U$301,$AE228),""))</f>
        <v/>
      </c>
      <c r="L228" s="13">
        <f>IF($AE228="","",IFERROR(INDEX(Players!$X$2:$X$301,$AE228),""))</f>
        <v/>
      </c>
      <c r="M228" s="14">
        <f>IF($AE228="","",IFERROR(INDEX(Players!$K$2:$K$301,$AE228),""))</f>
        <v/>
      </c>
      <c r="N228" s="14">
        <f>IF($AE228="","",IFERROR(INDEX(Players!$H$2:$H$301,$AE228),""))</f>
        <v/>
      </c>
      <c r="O228" s="15">
        <f>IF($AE228="","",IFERROR(INDEX(Players!$G$2:$G$301,$AE228),""))</f>
        <v/>
      </c>
      <c r="P228" s="14">
        <f>IF($AE228="","",IFERROR(INDEX(Players!$I$2:$I$301,$AE228),""))</f>
        <v/>
      </c>
      <c r="Q228" s="14">
        <f>IF($AE228="","",IFERROR(INDEX(Players!$F$2:$F$301,$AE228),""))</f>
        <v/>
      </c>
      <c r="R228" s="14">
        <f>IF($AE228="","",IFERROR(INDEX(Players!$J$2:$J$301,$AE228),""))</f>
        <v/>
      </c>
      <c r="S228" s="15">
        <f>IF($AE228="","",IFERROR(INDEX(Players!$L$2:$L$301,$AE228),""))</f>
        <v/>
      </c>
      <c r="T228" s="14">
        <f>IF($AE228="","",IFERROR(INDEX(Players!$M$2:$M$301,$AE228),""))</f>
        <v/>
      </c>
      <c r="U228" s="14">
        <f>IF($AE228="","",IFERROR(INDEX(Players!$N$2:$N$301,$AE228),""))</f>
        <v/>
      </c>
      <c r="V228" s="14">
        <f>IF($AE228="","",IFERROR(INDEX(Players!$O$2:$O$301,$AE228),""))</f>
        <v/>
      </c>
      <c r="W228" s="14">
        <f>IF($AE228="","",IFERROR(INDEX(Players!$P$2:$P$301,$AE228),""))</f>
        <v/>
      </c>
      <c r="X228" s="14">
        <f>IF($AE228="","",IFERROR(INDEX(Players!$Q$2:$Q$301,$AE228),""))</f>
        <v/>
      </c>
      <c r="Y228" s="14">
        <f>IF($AE228="","",IFERROR(INDEX(Players!$R$2:$R$301,$AE228),""))</f>
        <v/>
      </c>
      <c r="AE228">
        <f>IFERROR(MATCH(LARGE(Players!$V$2:$V$301,224),Players!$V$2:$V$301,0),"")</f>
        <v/>
      </c>
    </row>
    <row r="229">
      <c r="E229" s="9" t="n">
        <v>225</v>
      </c>
      <c r="F229">
        <f>IF($AE229="","",IFERROR(INDEX(Players!$B$2:$B$301,$AE229),""))</f>
        <v/>
      </c>
      <c r="G229">
        <f>IF($AE229="","",IFERROR(INDEX(Players!$D$2:$D$301,$AE229),""))</f>
        <v/>
      </c>
      <c r="H229">
        <f>IF($AE229="","",IFERROR(INDEX(Players!$C$2:$C$301,$AE229),""))</f>
        <v/>
      </c>
      <c r="I229" s="12">
        <f>IF($AE229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-225+0.5)/3.5))))</f>
        <v/>
      </c>
      <c r="J229" s="12">
        <f>IF($AE229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-225+0.5)/3.5))))</f>
        <v/>
      </c>
      <c r="K229" s="13">
        <f>IF($AE229="","",IFERROR(INDEX(Players!$U$2:$U$301,$AE229),""))</f>
        <v/>
      </c>
      <c r="L229" s="13">
        <f>IF($AE229="","",IFERROR(INDEX(Players!$X$2:$X$301,$AE229),""))</f>
        <v/>
      </c>
      <c r="M229" s="14">
        <f>IF($AE229="","",IFERROR(INDEX(Players!$K$2:$K$301,$AE229),""))</f>
        <v/>
      </c>
      <c r="N229" s="14">
        <f>IF($AE229="","",IFERROR(INDEX(Players!$H$2:$H$301,$AE229),""))</f>
        <v/>
      </c>
      <c r="O229" s="15">
        <f>IF($AE229="","",IFERROR(INDEX(Players!$G$2:$G$301,$AE229),""))</f>
        <v/>
      </c>
      <c r="P229" s="14">
        <f>IF($AE229="","",IFERROR(INDEX(Players!$I$2:$I$301,$AE229),""))</f>
        <v/>
      </c>
      <c r="Q229" s="14">
        <f>IF($AE229="","",IFERROR(INDEX(Players!$F$2:$F$301,$AE229),""))</f>
        <v/>
      </c>
      <c r="R229" s="14">
        <f>IF($AE229="","",IFERROR(INDEX(Players!$J$2:$J$301,$AE229),""))</f>
        <v/>
      </c>
      <c r="S229" s="15">
        <f>IF($AE229="","",IFERROR(INDEX(Players!$L$2:$L$301,$AE229),""))</f>
        <v/>
      </c>
      <c r="T229" s="14">
        <f>IF($AE229="","",IFERROR(INDEX(Players!$M$2:$M$301,$AE229),""))</f>
        <v/>
      </c>
      <c r="U229" s="14">
        <f>IF($AE229="","",IFERROR(INDEX(Players!$N$2:$N$301,$AE229),""))</f>
        <v/>
      </c>
      <c r="V229" s="14">
        <f>IF($AE229="","",IFERROR(INDEX(Players!$O$2:$O$301,$AE229),""))</f>
        <v/>
      </c>
      <c r="W229" s="14">
        <f>IF($AE229="","",IFERROR(INDEX(Players!$P$2:$P$301,$AE229),""))</f>
        <v/>
      </c>
      <c r="X229" s="14">
        <f>IF($AE229="","",IFERROR(INDEX(Players!$Q$2:$Q$301,$AE229),""))</f>
        <v/>
      </c>
      <c r="Y229" s="14">
        <f>IF($AE229="","",IFERROR(INDEX(Players!$R$2:$R$301,$AE229),""))</f>
        <v/>
      </c>
      <c r="AE229">
        <f>IFERROR(MATCH(LARGE(Players!$V$2:$V$301,225),Players!$V$2:$V$301,0),"")</f>
        <v/>
      </c>
    </row>
    <row r="230">
      <c r="E230" s="9" t="n">
        <v>226</v>
      </c>
      <c r="F230">
        <f>IF($AE230="","",IFERROR(INDEX(Players!$B$2:$B$301,$AE230),""))</f>
        <v/>
      </c>
      <c r="G230">
        <f>IF($AE230="","",IFERROR(INDEX(Players!$D$2:$D$301,$AE230),""))</f>
        <v/>
      </c>
      <c r="H230">
        <f>IF($AE230="","",IFERROR(INDEX(Players!$C$2:$C$301,$AE230),""))</f>
        <v/>
      </c>
      <c r="I230" s="12">
        <f>IF($AE230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-226+0.5)/3.5))))</f>
        <v/>
      </c>
      <c r="J230" s="12">
        <f>IF($AE230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-226+0.5)/3.5))))</f>
        <v/>
      </c>
      <c r="K230" s="13">
        <f>IF($AE230="","",IFERROR(INDEX(Players!$U$2:$U$301,$AE230),""))</f>
        <v/>
      </c>
      <c r="L230" s="13">
        <f>IF($AE230="","",IFERROR(INDEX(Players!$X$2:$X$301,$AE230),""))</f>
        <v/>
      </c>
      <c r="M230" s="14">
        <f>IF($AE230="","",IFERROR(INDEX(Players!$K$2:$K$301,$AE230),""))</f>
        <v/>
      </c>
      <c r="N230" s="14">
        <f>IF($AE230="","",IFERROR(INDEX(Players!$H$2:$H$301,$AE230),""))</f>
        <v/>
      </c>
      <c r="O230" s="15">
        <f>IF($AE230="","",IFERROR(INDEX(Players!$G$2:$G$301,$AE230),""))</f>
        <v/>
      </c>
      <c r="P230" s="14">
        <f>IF($AE230="","",IFERROR(INDEX(Players!$I$2:$I$301,$AE230),""))</f>
        <v/>
      </c>
      <c r="Q230" s="14">
        <f>IF($AE230="","",IFERROR(INDEX(Players!$F$2:$F$301,$AE230),""))</f>
        <v/>
      </c>
      <c r="R230" s="14">
        <f>IF($AE230="","",IFERROR(INDEX(Players!$J$2:$J$301,$AE230),""))</f>
        <v/>
      </c>
      <c r="S230" s="15">
        <f>IF($AE230="","",IFERROR(INDEX(Players!$L$2:$L$301,$AE230),""))</f>
        <v/>
      </c>
      <c r="T230" s="14">
        <f>IF($AE230="","",IFERROR(INDEX(Players!$M$2:$M$301,$AE230),""))</f>
        <v/>
      </c>
      <c r="U230" s="14">
        <f>IF($AE230="","",IFERROR(INDEX(Players!$N$2:$N$301,$AE230),""))</f>
        <v/>
      </c>
      <c r="V230" s="14">
        <f>IF($AE230="","",IFERROR(INDEX(Players!$O$2:$O$301,$AE230),""))</f>
        <v/>
      </c>
      <c r="W230" s="14">
        <f>IF($AE230="","",IFERROR(INDEX(Players!$P$2:$P$301,$AE230),""))</f>
        <v/>
      </c>
      <c r="X230" s="14">
        <f>IF($AE230="","",IFERROR(INDEX(Players!$Q$2:$Q$301,$AE230),""))</f>
        <v/>
      </c>
      <c r="Y230" s="14">
        <f>IF($AE230="","",IFERROR(INDEX(Players!$R$2:$R$301,$AE230),""))</f>
        <v/>
      </c>
      <c r="AE230">
        <f>IFERROR(MATCH(LARGE(Players!$V$2:$V$301,226),Players!$V$2:$V$301,0),"")</f>
        <v/>
      </c>
    </row>
    <row r="231">
      <c r="E231" s="9" t="n">
        <v>227</v>
      </c>
      <c r="F231">
        <f>IF($AE231="","",IFERROR(INDEX(Players!$B$2:$B$301,$AE231),""))</f>
        <v/>
      </c>
      <c r="G231">
        <f>IF($AE231="","",IFERROR(INDEX(Players!$D$2:$D$301,$AE231),""))</f>
        <v/>
      </c>
      <c r="H231">
        <f>IF($AE231="","",IFERROR(INDEX(Players!$C$2:$C$301,$AE231),""))</f>
        <v/>
      </c>
      <c r="I231" s="12">
        <f>IF($AE231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-227+0.5)/3.5))))</f>
        <v/>
      </c>
      <c r="J231" s="12">
        <f>IF($AE231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-227+0.5)/3.5))))</f>
        <v/>
      </c>
      <c r="K231" s="13">
        <f>IF($AE231="","",IFERROR(INDEX(Players!$U$2:$U$301,$AE231),""))</f>
        <v/>
      </c>
      <c r="L231" s="13">
        <f>IF($AE231="","",IFERROR(INDEX(Players!$X$2:$X$301,$AE231),""))</f>
        <v/>
      </c>
      <c r="M231" s="14">
        <f>IF($AE231="","",IFERROR(INDEX(Players!$K$2:$K$301,$AE231),""))</f>
        <v/>
      </c>
      <c r="N231" s="14">
        <f>IF($AE231="","",IFERROR(INDEX(Players!$H$2:$H$301,$AE231),""))</f>
        <v/>
      </c>
      <c r="O231" s="15">
        <f>IF($AE231="","",IFERROR(INDEX(Players!$G$2:$G$301,$AE231),""))</f>
        <v/>
      </c>
      <c r="P231" s="14">
        <f>IF($AE231="","",IFERROR(INDEX(Players!$I$2:$I$301,$AE231),""))</f>
        <v/>
      </c>
      <c r="Q231" s="14">
        <f>IF($AE231="","",IFERROR(INDEX(Players!$F$2:$F$301,$AE231),""))</f>
        <v/>
      </c>
      <c r="R231" s="14">
        <f>IF($AE231="","",IFERROR(INDEX(Players!$J$2:$J$301,$AE231),""))</f>
        <v/>
      </c>
      <c r="S231" s="15">
        <f>IF($AE231="","",IFERROR(INDEX(Players!$L$2:$L$301,$AE231),""))</f>
        <v/>
      </c>
      <c r="T231" s="14">
        <f>IF($AE231="","",IFERROR(INDEX(Players!$M$2:$M$301,$AE231),""))</f>
        <v/>
      </c>
      <c r="U231" s="14">
        <f>IF($AE231="","",IFERROR(INDEX(Players!$N$2:$N$301,$AE231),""))</f>
        <v/>
      </c>
      <c r="V231" s="14">
        <f>IF($AE231="","",IFERROR(INDEX(Players!$O$2:$O$301,$AE231),""))</f>
        <v/>
      </c>
      <c r="W231" s="14">
        <f>IF($AE231="","",IFERROR(INDEX(Players!$P$2:$P$301,$AE231),""))</f>
        <v/>
      </c>
      <c r="X231" s="14">
        <f>IF($AE231="","",IFERROR(INDEX(Players!$Q$2:$Q$301,$AE231),""))</f>
        <v/>
      </c>
      <c r="Y231" s="14">
        <f>IF($AE231="","",IFERROR(INDEX(Players!$R$2:$R$301,$AE231),""))</f>
        <v/>
      </c>
      <c r="AE231">
        <f>IFERROR(MATCH(LARGE(Players!$V$2:$V$301,227),Players!$V$2:$V$301,0),"")</f>
        <v/>
      </c>
    </row>
    <row r="232">
      <c r="E232" s="9" t="n">
        <v>228</v>
      </c>
      <c r="F232">
        <f>IF($AE232="","",IFERROR(INDEX(Players!$B$2:$B$301,$AE232),""))</f>
        <v/>
      </c>
      <c r="G232">
        <f>IF($AE232="","",IFERROR(INDEX(Players!$D$2:$D$301,$AE232),""))</f>
        <v/>
      </c>
      <c r="H232">
        <f>IF($AE232="","",IFERROR(INDEX(Players!$C$2:$C$301,$AE232),""))</f>
        <v/>
      </c>
      <c r="I232" s="12">
        <f>IF($AE232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-228+0.5)/3.5))))</f>
        <v/>
      </c>
      <c r="J232" s="12">
        <f>IF($AE232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-228+0.5)/3.5))))</f>
        <v/>
      </c>
      <c r="K232" s="13">
        <f>IF($AE232="","",IFERROR(INDEX(Players!$U$2:$U$301,$AE232),""))</f>
        <v/>
      </c>
      <c r="L232" s="13">
        <f>IF($AE232="","",IFERROR(INDEX(Players!$X$2:$X$301,$AE232),""))</f>
        <v/>
      </c>
      <c r="M232" s="14">
        <f>IF($AE232="","",IFERROR(INDEX(Players!$K$2:$K$301,$AE232),""))</f>
        <v/>
      </c>
      <c r="N232" s="14">
        <f>IF($AE232="","",IFERROR(INDEX(Players!$H$2:$H$301,$AE232),""))</f>
        <v/>
      </c>
      <c r="O232" s="15">
        <f>IF($AE232="","",IFERROR(INDEX(Players!$G$2:$G$301,$AE232),""))</f>
        <v/>
      </c>
      <c r="P232" s="14">
        <f>IF($AE232="","",IFERROR(INDEX(Players!$I$2:$I$301,$AE232),""))</f>
        <v/>
      </c>
      <c r="Q232" s="14">
        <f>IF($AE232="","",IFERROR(INDEX(Players!$F$2:$F$301,$AE232),""))</f>
        <v/>
      </c>
      <c r="R232" s="14">
        <f>IF($AE232="","",IFERROR(INDEX(Players!$J$2:$J$301,$AE232),""))</f>
        <v/>
      </c>
      <c r="S232" s="15">
        <f>IF($AE232="","",IFERROR(INDEX(Players!$L$2:$L$301,$AE232),""))</f>
        <v/>
      </c>
      <c r="T232" s="14">
        <f>IF($AE232="","",IFERROR(INDEX(Players!$M$2:$M$301,$AE232),""))</f>
        <v/>
      </c>
      <c r="U232" s="14">
        <f>IF($AE232="","",IFERROR(INDEX(Players!$N$2:$N$301,$AE232),""))</f>
        <v/>
      </c>
      <c r="V232" s="14">
        <f>IF($AE232="","",IFERROR(INDEX(Players!$O$2:$O$301,$AE232),""))</f>
        <v/>
      </c>
      <c r="W232" s="14">
        <f>IF($AE232="","",IFERROR(INDEX(Players!$P$2:$P$301,$AE232),""))</f>
        <v/>
      </c>
      <c r="X232" s="14">
        <f>IF($AE232="","",IFERROR(INDEX(Players!$Q$2:$Q$301,$AE232),""))</f>
        <v/>
      </c>
      <c r="Y232" s="14">
        <f>IF($AE232="","",IFERROR(INDEX(Players!$R$2:$R$301,$AE232),""))</f>
        <v/>
      </c>
      <c r="AE232">
        <f>IFERROR(MATCH(LARGE(Players!$V$2:$V$301,228),Players!$V$2:$V$301,0),"")</f>
        <v/>
      </c>
    </row>
    <row r="233">
      <c r="E233" s="9" t="n">
        <v>229</v>
      </c>
      <c r="F233">
        <f>IF($AE233="","",IFERROR(INDEX(Players!$B$2:$B$301,$AE233),""))</f>
        <v/>
      </c>
      <c r="G233">
        <f>IF($AE233="","",IFERROR(INDEX(Players!$D$2:$D$301,$AE233),""))</f>
        <v/>
      </c>
      <c r="H233">
        <f>IF($AE233="","",IFERROR(INDEX(Players!$C$2:$C$301,$AE233),""))</f>
        <v/>
      </c>
      <c r="I233" s="12">
        <f>IF($AE233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-229+0.5)/3.5))))</f>
        <v/>
      </c>
      <c r="J233" s="12">
        <f>IF($AE233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-229+0.5)/3.5))))</f>
        <v/>
      </c>
      <c r="K233" s="13">
        <f>IF($AE233="","",IFERROR(INDEX(Players!$U$2:$U$301,$AE233),""))</f>
        <v/>
      </c>
      <c r="L233" s="13">
        <f>IF($AE233="","",IFERROR(INDEX(Players!$X$2:$X$301,$AE233),""))</f>
        <v/>
      </c>
      <c r="M233" s="14">
        <f>IF($AE233="","",IFERROR(INDEX(Players!$K$2:$K$301,$AE233),""))</f>
        <v/>
      </c>
      <c r="N233" s="14">
        <f>IF($AE233="","",IFERROR(INDEX(Players!$H$2:$H$301,$AE233),""))</f>
        <v/>
      </c>
      <c r="O233" s="15">
        <f>IF($AE233="","",IFERROR(INDEX(Players!$G$2:$G$301,$AE233),""))</f>
        <v/>
      </c>
      <c r="P233" s="14">
        <f>IF($AE233="","",IFERROR(INDEX(Players!$I$2:$I$301,$AE233),""))</f>
        <v/>
      </c>
      <c r="Q233" s="14">
        <f>IF($AE233="","",IFERROR(INDEX(Players!$F$2:$F$301,$AE233),""))</f>
        <v/>
      </c>
      <c r="R233" s="14">
        <f>IF($AE233="","",IFERROR(INDEX(Players!$J$2:$J$301,$AE233),""))</f>
        <v/>
      </c>
      <c r="S233" s="15">
        <f>IF($AE233="","",IFERROR(INDEX(Players!$L$2:$L$301,$AE233),""))</f>
        <v/>
      </c>
      <c r="T233" s="14">
        <f>IF($AE233="","",IFERROR(INDEX(Players!$M$2:$M$301,$AE233),""))</f>
        <v/>
      </c>
      <c r="U233" s="14">
        <f>IF($AE233="","",IFERROR(INDEX(Players!$N$2:$N$301,$AE233),""))</f>
        <v/>
      </c>
      <c r="V233" s="14">
        <f>IF($AE233="","",IFERROR(INDEX(Players!$O$2:$O$301,$AE233),""))</f>
        <v/>
      </c>
      <c r="W233" s="14">
        <f>IF($AE233="","",IFERROR(INDEX(Players!$P$2:$P$301,$AE233),""))</f>
        <v/>
      </c>
      <c r="X233" s="14">
        <f>IF($AE233="","",IFERROR(INDEX(Players!$Q$2:$Q$301,$AE233),""))</f>
        <v/>
      </c>
      <c r="Y233" s="14">
        <f>IF($AE233="","",IFERROR(INDEX(Players!$R$2:$R$301,$AE233),""))</f>
        <v/>
      </c>
      <c r="AE233">
        <f>IFERROR(MATCH(LARGE(Players!$V$2:$V$301,229),Players!$V$2:$V$301,0),"")</f>
        <v/>
      </c>
    </row>
    <row r="234">
      <c r="E234" s="9" t="n">
        <v>230</v>
      </c>
      <c r="F234">
        <f>IF($AE234="","",IFERROR(INDEX(Players!$B$2:$B$301,$AE234),""))</f>
        <v/>
      </c>
      <c r="G234">
        <f>IF($AE234="","",IFERROR(INDEX(Players!$D$2:$D$301,$AE234),""))</f>
        <v/>
      </c>
      <c r="H234">
        <f>IF($AE234="","",IFERROR(INDEX(Players!$C$2:$C$301,$AE234),""))</f>
        <v/>
      </c>
      <c r="I234" s="12">
        <f>IF($AE234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-230+0.5)/3.5))))</f>
        <v/>
      </c>
      <c r="J234" s="12">
        <f>IF($AE234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-230+0.5)/3.5))))</f>
        <v/>
      </c>
      <c r="K234" s="13">
        <f>IF($AE234="","",IFERROR(INDEX(Players!$U$2:$U$301,$AE234),""))</f>
        <v/>
      </c>
      <c r="L234" s="13">
        <f>IF($AE234="","",IFERROR(INDEX(Players!$X$2:$X$301,$AE234),""))</f>
        <v/>
      </c>
      <c r="M234" s="14">
        <f>IF($AE234="","",IFERROR(INDEX(Players!$K$2:$K$301,$AE234),""))</f>
        <v/>
      </c>
      <c r="N234" s="14">
        <f>IF($AE234="","",IFERROR(INDEX(Players!$H$2:$H$301,$AE234),""))</f>
        <v/>
      </c>
      <c r="O234" s="15">
        <f>IF($AE234="","",IFERROR(INDEX(Players!$G$2:$G$301,$AE234),""))</f>
        <v/>
      </c>
      <c r="P234" s="14">
        <f>IF($AE234="","",IFERROR(INDEX(Players!$I$2:$I$301,$AE234),""))</f>
        <v/>
      </c>
      <c r="Q234" s="14">
        <f>IF($AE234="","",IFERROR(INDEX(Players!$F$2:$F$301,$AE234),""))</f>
        <v/>
      </c>
      <c r="R234" s="14">
        <f>IF($AE234="","",IFERROR(INDEX(Players!$J$2:$J$301,$AE234),""))</f>
        <v/>
      </c>
      <c r="S234" s="15">
        <f>IF($AE234="","",IFERROR(INDEX(Players!$L$2:$L$301,$AE234),""))</f>
        <v/>
      </c>
      <c r="T234" s="14">
        <f>IF($AE234="","",IFERROR(INDEX(Players!$M$2:$M$301,$AE234),""))</f>
        <v/>
      </c>
      <c r="U234" s="14">
        <f>IF($AE234="","",IFERROR(INDEX(Players!$N$2:$N$301,$AE234),""))</f>
        <v/>
      </c>
      <c r="V234" s="14">
        <f>IF($AE234="","",IFERROR(INDEX(Players!$O$2:$O$301,$AE234),""))</f>
        <v/>
      </c>
      <c r="W234" s="14">
        <f>IF($AE234="","",IFERROR(INDEX(Players!$P$2:$P$301,$AE234),""))</f>
        <v/>
      </c>
      <c r="X234" s="14">
        <f>IF($AE234="","",IFERROR(INDEX(Players!$Q$2:$Q$301,$AE234),""))</f>
        <v/>
      </c>
      <c r="Y234" s="14">
        <f>IF($AE234="","",IFERROR(INDEX(Players!$R$2:$R$301,$AE234),""))</f>
        <v/>
      </c>
      <c r="AE234">
        <f>IFERROR(MATCH(LARGE(Players!$V$2:$V$301,230),Players!$V$2:$V$301,0),"")</f>
        <v/>
      </c>
    </row>
    <row r="235">
      <c r="E235" s="9" t="n">
        <v>231</v>
      </c>
      <c r="F235">
        <f>IF($AE235="","",IFERROR(INDEX(Players!$B$2:$B$301,$AE235),""))</f>
        <v/>
      </c>
      <c r="G235">
        <f>IF($AE235="","",IFERROR(INDEX(Players!$D$2:$D$301,$AE235),""))</f>
        <v/>
      </c>
      <c r="H235">
        <f>IF($AE235="","",IFERROR(INDEX(Players!$C$2:$C$301,$AE235),""))</f>
        <v/>
      </c>
      <c r="I235" s="12">
        <f>IF($AE235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-231+0.5)/3.5))))</f>
        <v/>
      </c>
      <c r="J235" s="12">
        <f>IF($AE235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-231+0.5)/3.5))))</f>
        <v/>
      </c>
      <c r="K235" s="13">
        <f>IF($AE235="","",IFERROR(INDEX(Players!$U$2:$U$301,$AE235),""))</f>
        <v/>
      </c>
      <c r="L235" s="13">
        <f>IF($AE235="","",IFERROR(INDEX(Players!$X$2:$X$301,$AE235),""))</f>
        <v/>
      </c>
      <c r="M235" s="14">
        <f>IF($AE235="","",IFERROR(INDEX(Players!$K$2:$K$301,$AE235),""))</f>
        <v/>
      </c>
      <c r="N235" s="14">
        <f>IF($AE235="","",IFERROR(INDEX(Players!$H$2:$H$301,$AE235),""))</f>
        <v/>
      </c>
      <c r="O235" s="15">
        <f>IF($AE235="","",IFERROR(INDEX(Players!$G$2:$G$301,$AE235),""))</f>
        <v/>
      </c>
      <c r="P235" s="14">
        <f>IF($AE235="","",IFERROR(INDEX(Players!$I$2:$I$301,$AE235),""))</f>
        <v/>
      </c>
      <c r="Q235" s="14">
        <f>IF($AE235="","",IFERROR(INDEX(Players!$F$2:$F$301,$AE235),""))</f>
        <v/>
      </c>
      <c r="R235" s="14">
        <f>IF($AE235="","",IFERROR(INDEX(Players!$J$2:$J$301,$AE235),""))</f>
        <v/>
      </c>
      <c r="S235" s="15">
        <f>IF($AE235="","",IFERROR(INDEX(Players!$L$2:$L$301,$AE235),""))</f>
        <v/>
      </c>
      <c r="T235" s="14">
        <f>IF($AE235="","",IFERROR(INDEX(Players!$M$2:$M$301,$AE235),""))</f>
        <v/>
      </c>
      <c r="U235" s="14">
        <f>IF($AE235="","",IFERROR(INDEX(Players!$N$2:$N$301,$AE235),""))</f>
        <v/>
      </c>
      <c r="V235" s="14">
        <f>IF($AE235="","",IFERROR(INDEX(Players!$O$2:$O$301,$AE235),""))</f>
        <v/>
      </c>
      <c r="W235" s="14">
        <f>IF($AE235="","",IFERROR(INDEX(Players!$P$2:$P$301,$AE235),""))</f>
        <v/>
      </c>
      <c r="X235" s="14">
        <f>IF($AE235="","",IFERROR(INDEX(Players!$Q$2:$Q$301,$AE235),""))</f>
        <v/>
      </c>
      <c r="Y235" s="14">
        <f>IF($AE235="","",IFERROR(INDEX(Players!$R$2:$R$301,$AE235),""))</f>
        <v/>
      </c>
      <c r="AE235">
        <f>IFERROR(MATCH(LARGE(Players!$V$2:$V$301,231),Players!$V$2:$V$301,0),"")</f>
        <v/>
      </c>
    </row>
    <row r="236">
      <c r="E236" s="9" t="n">
        <v>232</v>
      </c>
      <c r="F236">
        <f>IF($AE236="","",IFERROR(INDEX(Players!$B$2:$B$301,$AE236),""))</f>
        <v/>
      </c>
      <c r="G236">
        <f>IF($AE236="","",IFERROR(INDEX(Players!$D$2:$D$301,$AE236),""))</f>
        <v/>
      </c>
      <c r="H236">
        <f>IF($AE236="","",IFERROR(INDEX(Players!$C$2:$C$301,$AE236),""))</f>
        <v/>
      </c>
      <c r="I236" s="12">
        <f>IF($AE236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-232+0.5)/3.5))))</f>
        <v/>
      </c>
      <c r="J236" s="12">
        <f>IF($AE236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-232+0.5)/3.5))))</f>
        <v/>
      </c>
      <c r="K236" s="13">
        <f>IF($AE236="","",IFERROR(INDEX(Players!$U$2:$U$301,$AE236),""))</f>
        <v/>
      </c>
      <c r="L236" s="13">
        <f>IF($AE236="","",IFERROR(INDEX(Players!$X$2:$X$301,$AE236),""))</f>
        <v/>
      </c>
      <c r="M236" s="14">
        <f>IF($AE236="","",IFERROR(INDEX(Players!$K$2:$K$301,$AE236),""))</f>
        <v/>
      </c>
      <c r="N236" s="14">
        <f>IF($AE236="","",IFERROR(INDEX(Players!$H$2:$H$301,$AE236),""))</f>
        <v/>
      </c>
      <c r="O236" s="15">
        <f>IF($AE236="","",IFERROR(INDEX(Players!$G$2:$G$301,$AE236),""))</f>
        <v/>
      </c>
      <c r="P236" s="14">
        <f>IF($AE236="","",IFERROR(INDEX(Players!$I$2:$I$301,$AE236),""))</f>
        <v/>
      </c>
      <c r="Q236" s="14">
        <f>IF($AE236="","",IFERROR(INDEX(Players!$F$2:$F$301,$AE236),""))</f>
        <v/>
      </c>
      <c r="R236" s="14">
        <f>IF($AE236="","",IFERROR(INDEX(Players!$J$2:$J$301,$AE236),""))</f>
        <v/>
      </c>
      <c r="S236" s="15">
        <f>IF($AE236="","",IFERROR(INDEX(Players!$L$2:$L$301,$AE236),""))</f>
        <v/>
      </c>
      <c r="T236" s="14">
        <f>IF($AE236="","",IFERROR(INDEX(Players!$M$2:$M$301,$AE236),""))</f>
        <v/>
      </c>
      <c r="U236" s="14">
        <f>IF($AE236="","",IFERROR(INDEX(Players!$N$2:$N$301,$AE236),""))</f>
        <v/>
      </c>
      <c r="V236" s="14">
        <f>IF($AE236="","",IFERROR(INDEX(Players!$O$2:$O$301,$AE236),""))</f>
        <v/>
      </c>
      <c r="W236" s="14">
        <f>IF($AE236="","",IFERROR(INDEX(Players!$P$2:$P$301,$AE236),""))</f>
        <v/>
      </c>
      <c r="X236" s="14">
        <f>IF($AE236="","",IFERROR(INDEX(Players!$Q$2:$Q$301,$AE236),""))</f>
        <v/>
      </c>
      <c r="Y236" s="14">
        <f>IF($AE236="","",IFERROR(INDEX(Players!$R$2:$R$301,$AE236),""))</f>
        <v/>
      </c>
      <c r="AE236">
        <f>IFERROR(MATCH(LARGE(Players!$V$2:$V$301,232),Players!$V$2:$V$301,0),"")</f>
        <v/>
      </c>
    </row>
    <row r="237">
      <c r="E237" s="9" t="n">
        <v>233</v>
      </c>
      <c r="F237">
        <f>IF($AE237="","",IFERROR(INDEX(Players!$B$2:$B$301,$AE237),""))</f>
        <v/>
      </c>
      <c r="G237">
        <f>IF($AE237="","",IFERROR(INDEX(Players!$D$2:$D$301,$AE237),""))</f>
        <v/>
      </c>
      <c r="H237">
        <f>IF($AE237="","",IFERROR(INDEX(Players!$C$2:$C$301,$AE237),""))</f>
        <v/>
      </c>
      <c r="I237" s="12">
        <f>IF($AE237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-233+0.5)/3.5))))</f>
        <v/>
      </c>
      <c r="J237" s="12">
        <f>IF($AE237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-233+0.5)/3.5))))</f>
        <v/>
      </c>
      <c r="K237" s="13">
        <f>IF($AE237="","",IFERROR(INDEX(Players!$U$2:$U$301,$AE237),""))</f>
        <v/>
      </c>
      <c r="L237" s="13">
        <f>IF($AE237="","",IFERROR(INDEX(Players!$X$2:$X$301,$AE237),""))</f>
        <v/>
      </c>
      <c r="M237" s="14">
        <f>IF($AE237="","",IFERROR(INDEX(Players!$K$2:$K$301,$AE237),""))</f>
        <v/>
      </c>
      <c r="N237" s="14">
        <f>IF($AE237="","",IFERROR(INDEX(Players!$H$2:$H$301,$AE237),""))</f>
        <v/>
      </c>
      <c r="O237" s="15">
        <f>IF($AE237="","",IFERROR(INDEX(Players!$G$2:$G$301,$AE237),""))</f>
        <v/>
      </c>
      <c r="P237" s="14">
        <f>IF($AE237="","",IFERROR(INDEX(Players!$I$2:$I$301,$AE237),""))</f>
        <v/>
      </c>
      <c r="Q237" s="14">
        <f>IF($AE237="","",IFERROR(INDEX(Players!$F$2:$F$301,$AE237),""))</f>
        <v/>
      </c>
      <c r="R237" s="14">
        <f>IF($AE237="","",IFERROR(INDEX(Players!$J$2:$J$301,$AE237),""))</f>
        <v/>
      </c>
      <c r="S237" s="15">
        <f>IF($AE237="","",IFERROR(INDEX(Players!$L$2:$L$301,$AE237),""))</f>
        <v/>
      </c>
      <c r="T237" s="14">
        <f>IF($AE237="","",IFERROR(INDEX(Players!$M$2:$M$301,$AE237),""))</f>
        <v/>
      </c>
      <c r="U237" s="14">
        <f>IF($AE237="","",IFERROR(INDEX(Players!$N$2:$N$301,$AE237),""))</f>
        <v/>
      </c>
      <c r="V237" s="14">
        <f>IF($AE237="","",IFERROR(INDEX(Players!$O$2:$O$301,$AE237),""))</f>
        <v/>
      </c>
      <c r="W237" s="14">
        <f>IF($AE237="","",IFERROR(INDEX(Players!$P$2:$P$301,$AE237),""))</f>
        <v/>
      </c>
      <c r="X237" s="14">
        <f>IF($AE237="","",IFERROR(INDEX(Players!$Q$2:$Q$301,$AE237),""))</f>
        <v/>
      </c>
      <c r="Y237" s="14">
        <f>IF($AE237="","",IFERROR(INDEX(Players!$R$2:$R$301,$AE237),""))</f>
        <v/>
      </c>
      <c r="AE237">
        <f>IFERROR(MATCH(LARGE(Players!$V$2:$V$301,233),Players!$V$2:$V$301,0),"")</f>
        <v/>
      </c>
    </row>
    <row r="238">
      <c r="E238" s="9" t="n">
        <v>234</v>
      </c>
      <c r="F238">
        <f>IF($AE238="","",IFERROR(INDEX(Players!$B$2:$B$301,$AE238),""))</f>
        <v/>
      </c>
      <c r="G238">
        <f>IF($AE238="","",IFERROR(INDEX(Players!$D$2:$D$301,$AE238),""))</f>
        <v/>
      </c>
      <c r="H238">
        <f>IF($AE238="","",IFERROR(INDEX(Players!$C$2:$C$301,$AE238),""))</f>
        <v/>
      </c>
      <c r="I238" s="12">
        <f>IF($AE238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-234+0.5)/3.5))))</f>
        <v/>
      </c>
      <c r="J238" s="12">
        <f>IF($AE238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-234+0.5)/3.5))))</f>
        <v/>
      </c>
      <c r="K238" s="13">
        <f>IF($AE238="","",IFERROR(INDEX(Players!$U$2:$U$301,$AE238),""))</f>
        <v/>
      </c>
      <c r="L238" s="13">
        <f>IF($AE238="","",IFERROR(INDEX(Players!$X$2:$X$301,$AE238),""))</f>
        <v/>
      </c>
      <c r="M238" s="14">
        <f>IF($AE238="","",IFERROR(INDEX(Players!$K$2:$K$301,$AE238),""))</f>
        <v/>
      </c>
      <c r="N238" s="14">
        <f>IF($AE238="","",IFERROR(INDEX(Players!$H$2:$H$301,$AE238),""))</f>
        <v/>
      </c>
      <c r="O238" s="15">
        <f>IF($AE238="","",IFERROR(INDEX(Players!$G$2:$G$301,$AE238),""))</f>
        <v/>
      </c>
      <c r="P238" s="14">
        <f>IF($AE238="","",IFERROR(INDEX(Players!$I$2:$I$301,$AE238),""))</f>
        <v/>
      </c>
      <c r="Q238" s="14">
        <f>IF($AE238="","",IFERROR(INDEX(Players!$F$2:$F$301,$AE238),""))</f>
        <v/>
      </c>
      <c r="R238" s="14">
        <f>IF($AE238="","",IFERROR(INDEX(Players!$J$2:$J$301,$AE238),""))</f>
        <v/>
      </c>
      <c r="S238" s="15">
        <f>IF($AE238="","",IFERROR(INDEX(Players!$L$2:$L$301,$AE238),""))</f>
        <v/>
      </c>
      <c r="T238" s="14">
        <f>IF($AE238="","",IFERROR(INDEX(Players!$M$2:$M$301,$AE238),""))</f>
        <v/>
      </c>
      <c r="U238" s="14">
        <f>IF($AE238="","",IFERROR(INDEX(Players!$N$2:$N$301,$AE238),""))</f>
        <v/>
      </c>
      <c r="V238" s="14">
        <f>IF($AE238="","",IFERROR(INDEX(Players!$O$2:$O$301,$AE238),""))</f>
        <v/>
      </c>
      <c r="W238" s="14">
        <f>IF($AE238="","",IFERROR(INDEX(Players!$P$2:$P$301,$AE238),""))</f>
        <v/>
      </c>
      <c r="X238" s="14">
        <f>IF($AE238="","",IFERROR(INDEX(Players!$Q$2:$Q$301,$AE238),""))</f>
        <v/>
      </c>
      <c r="Y238" s="14">
        <f>IF($AE238="","",IFERROR(INDEX(Players!$R$2:$R$301,$AE238),""))</f>
        <v/>
      </c>
      <c r="AE238">
        <f>IFERROR(MATCH(LARGE(Players!$V$2:$V$301,234),Players!$V$2:$V$301,0),"")</f>
        <v/>
      </c>
    </row>
    <row r="239">
      <c r="E239" s="9" t="n">
        <v>235</v>
      </c>
      <c r="F239">
        <f>IF($AE239="","",IFERROR(INDEX(Players!$B$2:$B$301,$AE239),""))</f>
        <v/>
      </c>
      <c r="G239">
        <f>IF($AE239="","",IFERROR(INDEX(Players!$D$2:$D$301,$AE239),""))</f>
        <v/>
      </c>
      <c r="H239">
        <f>IF($AE239="","",IFERROR(INDEX(Players!$C$2:$C$301,$AE239),""))</f>
        <v/>
      </c>
      <c r="I239" s="12">
        <f>IF($AE239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-235+0.5)/3.5))))</f>
        <v/>
      </c>
      <c r="J239" s="12">
        <f>IF($AE239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-235+0.5)/3.5))))</f>
        <v/>
      </c>
      <c r="K239" s="13">
        <f>IF($AE239="","",IFERROR(INDEX(Players!$U$2:$U$301,$AE239),""))</f>
        <v/>
      </c>
      <c r="L239" s="13">
        <f>IF($AE239="","",IFERROR(INDEX(Players!$X$2:$X$301,$AE239),""))</f>
        <v/>
      </c>
      <c r="M239" s="14">
        <f>IF($AE239="","",IFERROR(INDEX(Players!$K$2:$K$301,$AE239),""))</f>
        <v/>
      </c>
      <c r="N239" s="14">
        <f>IF($AE239="","",IFERROR(INDEX(Players!$H$2:$H$301,$AE239),""))</f>
        <v/>
      </c>
      <c r="O239" s="15">
        <f>IF($AE239="","",IFERROR(INDEX(Players!$G$2:$G$301,$AE239),""))</f>
        <v/>
      </c>
      <c r="P239" s="14">
        <f>IF($AE239="","",IFERROR(INDEX(Players!$I$2:$I$301,$AE239),""))</f>
        <v/>
      </c>
      <c r="Q239" s="14">
        <f>IF($AE239="","",IFERROR(INDEX(Players!$F$2:$F$301,$AE239),""))</f>
        <v/>
      </c>
      <c r="R239" s="14">
        <f>IF($AE239="","",IFERROR(INDEX(Players!$J$2:$J$301,$AE239),""))</f>
        <v/>
      </c>
      <c r="S239" s="15">
        <f>IF($AE239="","",IFERROR(INDEX(Players!$L$2:$L$301,$AE239),""))</f>
        <v/>
      </c>
      <c r="T239" s="14">
        <f>IF($AE239="","",IFERROR(INDEX(Players!$M$2:$M$301,$AE239),""))</f>
        <v/>
      </c>
      <c r="U239" s="14">
        <f>IF($AE239="","",IFERROR(INDEX(Players!$N$2:$N$301,$AE239),""))</f>
        <v/>
      </c>
      <c r="V239" s="14">
        <f>IF($AE239="","",IFERROR(INDEX(Players!$O$2:$O$301,$AE239),""))</f>
        <v/>
      </c>
      <c r="W239" s="14">
        <f>IF($AE239="","",IFERROR(INDEX(Players!$P$2:$P$301,$AE239),""))</f>
        <v/>
      </c>
      <c r="X239" s="14">
        <f>IF($AE239="","",IFERROR(INDEX(Players!$Q$2:$Q$301,$AE239),""))</f>
        <v/>
      </c>
      <c r="Y239" s="14">
        <f>IF($AE239="","",IFERROR(INDEX(Players!$R$2:$R$301,$AE239),""))</f>
        <v/>
      </c>
      <c r="AE239">
        <f>IFERROR(MATCH(LARGE(Players!$V$2:$V$301,235),Players!$V$2:$V$301,0),"")</f>
        <v/>
      </c>
    </row>
    <row r="240">
      <c r="E240" s="9" t="n">
        <v>236</v>
      </c>
      <c r="F240">
        <f>IF($AE240="","",IFERROR(INDEX(Players!$B$2:$B$301,$AE240),""))</f>
        <v/>
      </c>
      <c r="G240">
        <f>IF($AE240="","",IFERROR(INDEX(Players!$D$2:$D$301,$AE240),""))</f>
        <v/>
      </c>
      <c r="H240">
        <f>IF($AE240="","",IFERROR(INDEX(Players!$C$2:$C$301,$AE240),""))</f>
        <v/>
      </c>
      <c r="I240" s="12">
        <f>IF($AE240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-236+0.5)/3.5))))</f>
        <v/>
      </c>
      <c r="J240" s="12">
        <f>IF($AE240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-236+0.5)/3.5))))</f>
        <v/>
      </c>
      <c r="K240" s="13">
        <f>IF($AE240="","",IFERROR(INDEX(Players!$U$2:$U$301,$AE240),""))</f>
        <v/>
      </c>
      <c r="L240" s="13">
        <f>IF($AE240="","",IFERROR(INDEX(Players!$X$2:$X$301,$AE240),""))</f>
        <v/>
      </c>
      <c r="M240" s="14">
        <f>IF($AE240="","",IFERROR(INDEX(Players!$K$2:$K$301,$AE240),""))</f>
        <v/>
      </c>
      <c r="N240" s="14">
        <f>IF($AE240="","",IFERROR(INDEX(Players!$H$2:$H$301,$AE240),""))</f>
        <v/>
      </c>
      <c r="O240" s="15">
        <f>IF($AE240="","",IFERROR(INDEX(Players!$G$2:$G$301,$AE240),""))</f>
        <v/>
      </c>
      <c r="P240" s="14">
        <f>IF($AE240="","",IFERROR(INDEX(Players!$I$2:$I$301,$AE240),""))</f>
        <v/>
      </c>
      <c r="Q240" s="14">
        <f>IF($AE240="","",IFERROR(INDEX(Players!$F$2:$F$301,$AE240),""))</f>
        <v/>
      </c>
      <c r="R240" s="14">
        <f>IF($AE240="","",IFERROR(INDEX(Players!$J$2:$J$301,$AE240),""))</f>
        <v/>
      </c>
      <c r="S240" s="15">
        <f>IF($AE240="","",IFERROR(INDEX(Players!$L$2:$L$301,$AE240),""))</f>
        <v/>
      </c>
      <c r="T240" s="14">
        <f>IF($AE240="","",IFERROR(INDEX(Players!$M$2:$M$301,$AE240),""))</f>
        <v/>
      </c>
      <c r="U240" s="14">
        <f>IF($AE240="","",IFERROR(INDEX(Players!$N$2:$N$301,$AE240),""))</f>
        <v/>
      </c>
      <c r="V240" s="14">
        <f>IF($AE240="","",IFERROR(INDEX(Players!$O$2:$O$301,$AE240),""))</f>
        <v/>
      </c>
      <c r="W240" s="14">
        <f>IF($AE240="","",IFERROR(INDEX(Players!$P$2:$P$301,$AE240),""))</f>
        <v/>
      </c>
      <c r="X240" s="14">
        <f>IF($AE240="","",IFERROR(INDEX(Players!$Q$2:$Q$301,$AE240),""))</f>
        <v/>
      </c>
      <c r="Y240" s="14">
        <f>IF($AE240="","",IFERROR(INDEX(Players!$R$2:$R$301,$AE240),""))</f>
        <v/>
      </c>
      <c r="AE240">
        <f>IFERROR(MATCH(LARGE(Players!$V$2:$V$301,236),Players!$V$2:$V$301,0),"")</f>
        <v/>
      </c>
    </row>
    <row r="241">
      <c r="E241" s="9" t="n">
        <v>237</v>
      </c>
      <c r="F241">
        <f>IF($AE241="","",IFERROR(INDEX(Players!$B$2:$B$301,$AE241),""))</f>
        <v/>
      </c>
      <c r="G241">
        <f>IF($AE241="","",IFERROR(INDEX(Players!$D$2:$D$301,$AE241),""))</f>
        <v/>
      </c>
      <c r="H241">
        <f>IF($AE241="","",IFERROR(INDEX(Players!$C$2:$C$301,$AE241),""))</f>
        <v/>
      </c>
      <c r="I241" s="12">
        <f>IF($AE241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-237+0.5)/3.5))))</f>
        <v/>
      </c>
      <c r="J241" s="12">
        <f>IF($AE241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-237+0.5)/3.5))))</f>
        <v/>
      </c>
      <c r="K241" s="13">
        <f>IF($AE241="","",IFERROR(INDEX(Players!$U$2:$U$301,$AE241),""))</f>
        <v/>
      </c>
      <c r="L241" s="13">
        <f>IF($AE241="","",IFERROR(INDEX(Players!$X$2:$X$301,$AE241),""))</f>
        <v/>
      </c>
      <c r="M241" s="14">
        <f>IF($AE241="","",IFERROR(INDEX(Players!$K$2:$K$301,$AE241),""))</f>
        <v/>
      </c>
      <c r="N241" s="14">
        <f>IF($AE241="","",IFERROR(INDEX(Players!$H$2:$H$301,$AE241),""))</f>
        <v/>
      </c>
      <c r="O241" s="15">
        <f>IF($AE241="","",IFERROR(INDEX(Players!$G$2:$G$301,$AE241),""))</f>
        <v/>
      </c>
      <c r="P241" s="14">
        <f>IF($AE241="","",IFERROR(INDEX(Players!$I$2:$I$301,$AE241),""))</f>
        <v/>
      </c>
      <c r="Q241" s="14">
        <f>IF($AE241="","",IFERROR(INDEX(Players!$F$2:$F$301,$AE241),""))</f>
        <v/>
      </c>
      <c r="R241" s="14">
        <f>IF($AE241="","",IFERROR(INDEX(Players!$J$2:$J$301,$AE241),""))</f>
        <v/>
      </c>
      <c r="S241" s="15">
        <f>IF($AE241="","",IFERROR(INDEX(Players!$L$2:$L$301,$AE241),""))</f>
        <v/>
      </c>
      <c r="T241" s="14">
        <f>IF($AE241="","",IFERROR(INDEX(Players!$M$2:$M$301,$AE241),""))</f>
        <v/>
      </c>
      <c r="U241" s="14">
        <f>IF($AE241="","",IFERROR(INDEX(Players!$N$2:$N$301,$AE241),""))</f>
        <v/>
      </c>
      <c r="V241" s="14">
        <f>IF($AE241="","",IFERROR(INDEX(Players!$O$2:$O$301,$AE241),""))</f>
        <v/>
      </c>
      <c r="W241" s="14">
        <f>IF($AE241="","",IFERROR(INDEX(Players!$P$2:$P$301,$AE241),""))</f>
        <v/>
      </c>
      <c r="X241" s="14">
        <f>IF($AE241="","",IFERROR(INDEX(Players!$Q$2:$Q$301,$AE241),""))</f>
        <v/>
      </c>
      <c r="Y241" s="14">
        <f>IF($AE241="","",IFERROR(INDEX(Players!$R$2:$R$301,$AE241),""))</f>
        <v/>
      </c>
      <c r="AE241">
        <f>IFERROR(MATCH(LARGE(Players!$V$2:$V$301,237),Players!$V$2:$V$301,0),"")</f>
        <v/>
      </c>
    </row>
    <row r="242">
      <c r="E242" s="9" t="n">
        <v>238</v>
      </c>
      <c r="F242">
        <f>IF($AE242="","",IFERROR(INDEX(Players!$B$2:$B$301,$AE242),""))</f>
        <v/>
      </c>
      <c r="G242">
        <f>IF($AE242="","",IFERROR(INDEX(Players!$D$2:$D$301,$AE242),""))</f>
        <v/>
      </c>
      <c r="H242">
        <f>IF($AE242="","",IFERROR(INDEX(Players!$C$2:$C$301,$AE242),""))</f>
        <v/>
      </c>
      <c r="I242" s="12">
        <f>IF($AE242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-238+0.5)/3.5))))</f>
        <v/>
      </c>
      <c r="J242" s="12">
        <f>IF($AE242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-238+0.5)/3.5))))</f>
        <v/>
      </c>
      <c r="K242" s="13">
        <f>IF($AE242="","",IFERROR(INDEX(Players!$U$2:$U$301,$AE242),""))</f>
        <v/>
      </c>
      <c r="L242" s="13">
        <f>IF($AE242="","",IFERROR(INDEX(Players!$X$2:$X$301,$AE242),""))</f>
        <v/>
      </c>
      <c r="M242" s="14">
        <f>IF($AE242="","",IFERROR(INDEX(Players!$K$2:$K$301,$AE242),""))</f>
        <v/>
      </c>
      <c r="N242" s="14">
        <f>IF($AE242="","",IFERROR(INDEX(Players!$H$2:$H$301,$AE242),""))</f>
        <v/>
      </c>
      <c r="O242" s="15">
        <f>IF($AE242="","",IFERROR(INDEX(Players!$G$2:$G$301,$AE242),""))</f>
        <v/>
      </c>
      <c r="P242" s="14">
        <f>IF($AE242="","",IFERROR(INDEX(Players!$I$2:$I$301,$AE242),""))</f>
        <v/>
      </c>
      <c r="Q242" s="14">
        <f>IF($AE242="","",IFERROR(INDEX(Players!$F$2:$F$301,$AE242),""))</f>
        <v/>
      </c>
      <c r="R242" s="14">
        <f>IF($AE242="","",IFERROR(INDEX(Players!$J$2:$J$301,$AE242),""))</f>
        <v/>
      </c>
      <c r="S242" s="15">
        <f>IF($AE242="","",IFERROR(INDEX(Players!$L$2:$L$301,$AE242),""))</f>
        <v/>
      </c>
      <c r="T242" s="14">
        <f>IF($AE242="","",IFERROR(INDEX(Players!$M$2:$M$301,$AE242),""))</f>
        <v/>
      </c>
      <c r="U242" s="14">
        <f>IF($AE242="","",IFERROR(INDEX(Players!$N$2:$N$301,$AE242),""))</f>
        <v/>
      </c>
      <c r="V242" s="14">
        <f>IF($AE242="","",IFERROR(INDEX(Players!$O$2:$O$301,$AE242),""))</f>
        <v/>
      </c>
      <c r="W242" s="14">
        <f>IF($AE242="","",IFERROR(INDEX(Players!$P$2:$P$301,$AE242),""))</f>
        <v/>
      </c>
      <c r="X242" s="14">
        <f>IF($AE242="","",IFERROR(INDEX(Players!$Q$2:$Q$301,$AE242),""))</f>
        <v/>
      </c>
      <c r="Y242" s="14">
        <f>IF($AE242="","",IFERROR(INDEX(Players!$R$2:$R$301,$AE242),""))</f>
        <v/>
      </c>
      <c r="AE242">
        <f>IFERROR(MATCH(LARGE(Players!$V$2:$V$301,238),Players!$V$2:$V$301,0),"")</f>
        <v/>
      </c>
    </row>
    <row r="243">
      <c r="E243" s="9" t="n">
        <v>239</v>
      </c>
      <c r="F243">
        <f>IF($AE243="","",IFERROR(INDEX(Players!$B$2:$B$301,$AE243),""))</f>
        <v/>
      </c>
      <c r="G243">
        <f>IF($AE243="","",IFERROR(INDEX(Players!$D$2:$D$301,$AE243),""))</f>
        <v/>
      </c>
      <c r="H243">
        <f>IF($AE243="","",IFERROR(INDEX(Players!$C$2:$C$301,$AE243),""))</f>
        <v/>
      </c>
      <c r="I243" s="12">
        <f>IF($AE243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-239+0.5)/3.5))))</f>
        <v/>
      </c>
      <c r="J243" s="12">
        <f>IF($AE243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-239+0.5)/3.5))))</f>
        <v/>
      </c>
      <c r="K243" s="13">
        <f>IF($AE243="","",IFERROR(INDEX(Players!$U$2:$U$301,$AE243),""))</f>
        <v/>
      </c>
      <c r="L243" s="13">
        <f>IF($AE243="","",IFERROR(INDEX(Players!$X$2:$X$301,$AE243),""))</f>
        <v/>
      </c>
      <c r="M243" s="14">
        <f>IF($AE243="","",IFERROR(INDEX(Players!$K$2:$K$301,$AE243),""))</f>
        <v/>
      </c>
      <c r="N243" s="14">
        <f>IF($AE243="","",IFERROR(INDEX(Players!$H$2:$H$301,$AE243),""))</f>
        <v/>
      </c>
      <c r="O243" s="15">
        <f>IF($AE243="","",IFERROR(INDEX(Players!$G$2:$G$301,$AE243),""))</f>
        <v/>
      </c>
      <c r="P243" s="14">
        <f>IF($AE243="","",IFERROR(INDEX(Players!$I$2:$I$301,$AE243),""))</f>
        <v/>
      </c>
      <c r="Q243" s="14">
        <f>IF($AE243="","",IFERROR(INDEX(Players!$F$2:$F$301,$AE243),""))</f>
        <v/>
      </c>
      <c r="R243" s="14">
        <f>IF($AE243="","",IFERROR(INDEX(Players!$J$2:$J$301,$AE243),""))</f>
        <v/>
      </c>
      <c r="S243" s="15">
        <f>IF($AE243="","",IFERROR(INDEX(Players!$L$2:$L$301,$AE243),""))</f>
        <v/>
      </c>
      <c r="T243" s="14">
        <f>IF($AE243="","",IFERROR(INDEX(Players!$M$2:$M$301,$AE243),""))</f>
        <v/>
      </c>
      <c r="U243" s="14">
        <f>IF($AE243="","",IFERROR(INDEX(Players!$N$2:$N$301,$AE243),""))</f>
        <v/>
      </c>
      <c r="V243" s="14">
        <f>IF($AE243="","",IFERROR(INDEX(Players!$O$2:$O$301,$AE243),""))</f>
        <v/>
      </c>
      <c r="W243" s="14">
        <f>IF($AE243="","",IFERROR(INDEX(Players!$P$2:$P$301,$AE243),""))</f>
        <v/>
      </c>
      <c r="X243" s="14">
        <f>IF($AE243="","",IFERROR(INDEX(Players!$Q$2:$Q$301,$AE243),""))</f>
        <v/>
      </c>
      <c r="Y243" s="14">
        <f>IF($AE243="","",IFERROR(INDEX(Players!$R$2:$R$301,$AE243),""))</f>
        <v/>
      </c>
      <c r="AE243">
        <f>IFERROR(MATCH(LARGE(Players!$V$2:$V$301,239),Players!$V$2:$V$301,0),"")</f>
        <v/>
      </c>
    </row>
    <row r="244">
      <c r="E244" s="9" t="n">
        <v>240</v>
      </c>
      <c r="F244">
        <f>IF($AE244="","",IFERROR(INDEX(Players!$B$2:$B$301,$AE244),""))</f>
        <v/>
      </c>
      <c r="G244">
        <f>IF($AE244="","",IFERROR(INDEX(Players!$D$2:$D$301,$AE244),""))</f>
        <v/>
      </c>
      <c r="H244">
        <f>IF($AE244="","",IFERROR(INDEX(Players!$C$2:$C$301,$AE244),""))</f>
        <v/>
      </c>
      <c r="I244" s="12">
        <f>IF($AE244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-240+0.5)/3.5))))</f>
        <v/>
      </c>
      <c r="J244" s="12">
        <f>IF($AE244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-240+0.5)/3.5))))</f>
        <v/>
      </c>
      <c r="K244" s="13">
        <f>IF($AE244="","",IFERROR(INDEX(Players!$U$2:$U$301,$AE244),""))</f>
        <v/>
      </c>
      <c r="L244" s="13">
        <f>IF($AE244="","",IFERROR(INDEX(Players!$X$2:$X$301,$AE244),""))</f>
        <v/>
      </c>
      <c r="M244" s="14">
        <f>IF($AE244="","",IFERROR(INDEX(Players!$K$2:$K$301,$AE244),""))</f>
        <v/>
      </c>
      <c r="N244" s="14">
        <f>IF($AE244="","",IFERROR(INDEX(Players!$H$2:$H$301,$AE244),""))</f>
        <v/>
      </c>
      <c r="O244" s="15">
        <f>IF($AE244="","",IFERROR(INDEX(Players!$G$2:$G$301,$AE244),""))</f>
        <v/>
      </c>
      <c r="P244" s="14">
        <f>IF($AE244="","",IFERROR(INDEX(Players!$I$2:$I$301,$AE244),""))</f>
        <v/>
      </c>
      <c r="Q244" s="14">
        <f>IF($AE244="","",IFERROR(INDEX(Players!$F$2:$F$301,$AE244),""))</f>
        <v/>
      </c>
      <c r="R244" s="14">
        <f>IF($AE244="","",IFERROR(INDEX(Players!$J$2:$J$301,$AE244),""))</f>
        <v/>
      </c>
      <c r="S244" s="15">
        <f>IF($AE244="","",IFERROR(INDEX(Players!$L$2:$L$301,$AE244),""))</f>
        <v/>
      </c>
      <c r="T244" s="14">
        <f>IF($AE244="","",IFERROR(INDEX(Players!$M$2:$M$301,$AE244),""))</f>
        <v/>
      </c>
      <c r="U244" s="14">
        <f>IF($AE244="","",IFERROR(INDEX(Players!$N$2:$N$301,$AE244),""))</f>
        <v/>
      </c>
      <c r="V244" s="14">
        <f>IF($AE244="","",IFERROR(INDEX(Players!$O$2:$O$301,$AE244),""))</f>
        <v/>
      </c>
      <c r="W244" s="14">
        <f>IF($AE244="","",IFERROR(INDEX(Players!$P$2:$P$301,$AE244),""))</f>
        <v/>
      </c>
      <c r="X244" s="14">
        <f>IF($AE244="","",IFERROR(INDEX(Players!$Q$2:$Q$301,$AE244),""))</f>
        <v/>
      </c>
      <c r="Y244" s="14">
        <f>IF($AE244="","",IFERROR(INDEX(Players!$R$2:$R$301,$AE244),""))</f>
        <v/>
      </c>
      <c r="AE244">
        <f>IFERROR(MATCH(LARGE(Players!$V$2:$V$301,240),Players!$V$2:$V$301,0),"")</f>
        <v/>
      </c>
    </row>
    <row r="245">
      <c r="E245" s="9" t="n">
        <v>241</v>
      </c>
      <c r="F245">
        <f>IF($AE245="","",IFERROR(INDEX(Players!$B$2:$B$301,$AE245),""))</f>
        <v/>
      </c>
      <c r="G245">
        <f>IF($AE245="","",IFERROR(INDEX(Players!$D$2:$D$301,$AE245),""))</f>
        <v/>
      </c>
      <c r="H245">
        <f>IF($AE245="","",IFERROR(INDEX(Players!$C$2:$C$301,$AE245),""))</f>
        <v/>
      </c>
      <c r="I245" s="12">
        <f>IF($AE245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-241+0.5)/3.5))))</f>
        <v/>
      </c>
      <c r="J245" s="12">
        <f>IF($AE245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-241+0.5)/3.5))))</f>
        <v/>
      </c>
      <c r="K245" s="13">
        <f>IF($AE245="","",IFERROR(INDEX(Players!$U$2:$U$301,$AE245),""))</f>
        <v/>
      </c>
      <c r="L245" s="13">
        <f>IF($AE245="","",IFERROR(INDEX(Players!$X$2:$X$301,$AE245),""))</f>
        <v/>
      </c>
      <c r="M245" s="14">
        <f>IF($AE245="","",IFERROR(INDEX(Players!$K$2:$K$301,$AE245),""))</f>
        <v/>
      </c>
      <c r="N245" s="14">
        <f>IF($AE245="","",IFERROR(INDEX(Players!$H$2:$H$301,$AE245),""))</f>
        <v/>
      </c>
      <c r="O245" s="15">
        <f>IF($AE245="","",IFERROR(INDEX(Players!$G$2:$G$301,$AE245),""))</f>
        <v/>
      </c>
      <c r="P245" s="14">
        <f>IF($AE245="","",IFERROR(INDEX(Players!$I$2:$I$301,$AE245),""))</f>
        <v/>
      </c>
      <c r="Q245" s="14">
        <f>IF($AE245="","",IFERROR(INDEX(Players!$F$2:$F$301,$AE245),""))</f>
        <v/>
      </c>
      <c r="R245" s="14">
        <f>IF($AE245="","",IFERROR(INDEX(Players!$J$2:$J$301,$AE245),""))</f>
        <v/>
      </c>
      <c r="S245" s="15">
        <f>IF($AE245="","",IFERROR(INDEX(Players!$L$2:$L$301,$AE245),""))</f>
        <v/>
      </c>
      <c r="T245" s="14">
        <f>IF($AE245="","",IFERROR(INDEX(Players!$M$2:$M$301,$AE245),""))</f>
        <v/>
      </c>
      <c r="U245" s="14">
        <f>IF($AE245="","",IFERROR(INDEX(Players!$N$2:$N$301,$AE245),""))</f>
        <v/>
      </c>
      <c r="V245" s="14">
        <f>IF($AE245="","",IFERROR(INDEX(Players!$O$2:$O$301,$AE245),""))</f>
        <v/>
      </c>
      <c r="W245" s="14">
        <f>IF($AE245="","",IFERROR(INDEX(Players!$P$2:$P$301,$AE245),""))</f>
        <v/>
      </c>
      <c r="X245" s="14">
        <f>IF($AE245="","",IFERROR(INDEX(Players!$Q$2:$Q$301,$AE245),""))</f>
        <v/>
      </c>
      <c r="Y245" s="14">
        <f>IF($AE245="","",IFERROR(INDEX(Players!$R$2:$R$301,$AE245),""))</f>
        <v/>
      </c>
      <c r="AE245">
        <f>IFERROR(MATCH(LARGE(Players!$V$2:$V$301,241),Players!$V$2:$V$301,0),"")</f>
        <v/>
      </c>
    </row>
    <row r="246">
      <c r="E246" s="9" t="n">
        <v>242</v>
      </c>
      <c r="F246">
        <f>IF($AE246="","",IFERROR(INDEX(Players!$B$2:$B$301,$AE246),""))</f>
        <v/>
      </c>
      <c r="G246">
        <f>IF($AE246="","",IFERROR(INDEX(Players!$D$2:$D$301,$AE246),""))</f>
        <v/>
      </c>
      <c r="H246">
        <f>IF($AE246="","",IFERROR(INDEX(Players!$C$2:$C$301,$AE246),""))</f>
        <v/>
      </c>
      <c r="I246" s="12">
        <f>IF($AE246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-242+0.5)/3.5))))</f>
        <v/>
      </c>
      <c r="J246" s="12">
        <f>IF($AE246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-242+0.5)/3.5))))</f>
        <v/>
      </c>
      <c r="K246" s="13">
        <f>IF($AE246="","",IFERROR(INDEX(Players!$U$2:$U$301,$AE246),""))</f>
        <v/>
      </c>
      <c r="L246" s="13">
        <f>IF($AE246="","",IFERROR(INDEX(Players!$X$2:$X$301,$AE246),""))</f>
        <v/>
      </c>
      <c r="M246" s="14">
        <f>IF($AE246="","",IFERROR(INDEX(Players!$K$2:$K$301,$AE246),""))</f>
        <v/>
      </c>
      <c r="N246" s="14">
        <f>IF($AE246="","",IFERROR(INDEX(Players!$H$2:$H$301,$AE246),""))</f>
        <v/>
      </c>
      <c r="O246" s="15">
        <f>IF($AE246="","",IFERROR(INDEX(Players!$G$2:$G$301,$AE246),""))</f>
        <v/>
      </c>
      <c r="P246" s="14">
        <f>IF($AE246="","",IFERROR(INDEX(Players!$I$2:$I$301,$AE246),""))</f>
        <v/>
      </c>
      <c r="Q246" s="14">
        <f>IF($AE246="","",IFERROR(INDEX(Players!$F$2:$F$301,$AE246),""))</f>
        <v/>
      </c>
      <c r="R246" s="14">
        <f>IF($AE246="","",IFERROR(INDEX(Players!$J$2:$J$301,$AE246),""))</f>
        <v/>
      </c>
      <c r="S246" s="15">
        <f>IF($AE246="","",IFERROR(INDEX(Players!$L$2:$L$301,$AE246),""))</f>
        <v/>
      </c>
      <c r="T246" s="14">
        <f>IF($AE246="","",IFERROR(INDEX(Players!$M$2:$M$301,$AE246),""))</f>
        <v/>
      </c>
      <c r="U246" s="14">
        <f>IF($AE246="","",IFERROR(INDEX(Players!$N$2:$N$301,$AE246),""))</f>
        <v/>
      </c>
      <c r="V246" s="14">
        <f>IF($AE246="","",IFERROR(INDEX(Players!$O$2:$O$301,$AE246),""))</f>
        <v/>
      </c>
      <c r="W246" s="14">
        <f>IF($AE246="","",IFERROR(INDEX(Players!$P$2:$P$301,$AE246),""))</f>
        <v/>
      </c>
      <c r="X246" s="14">
        <f>IF($AE246="","",IFERROR(INDEX(Players!$Q$2:$Q$301,$AE246),""))</f>
        <v/>
      </c>
      <c r="Y246" s="14">
        <f>IF($AE246="","",IFERROR(INDEX(Players!$R$2:$R$301,$AE246),""))</f>
        <v/>
      </c>
      <c r="AE246">
        <f>IFERROR(MATCH(LARGE(Players!$V$2:$V$301,242),Players!$V$2:$V$301,0),"")</f>
        <v/>
      </c>
    </row>
    <row r="247">
      <c r="E247" s="9" t="n">
        <v>243</v>
      </c>
      <c r="F247">
        <f>IF($AE247="","",IFERROR(INDEX(Players!$B$2:$B$301,$AE247),""))</f>
        <v/>
      </c>
      <c r="G247">
        <f>IF($AE247="","",IFERROR(INDEX(Players!$D$2:$D$301,$AE247),""))</f>
        <v/>
      </c>
      <c r="H247">
        <f>IF($AE247="","",IFERROR(INDEX(Players!$C$2:$C$301,$AE247),""))</f>
        <v/>
      </c>
      <c r="I247" s="12">
        <f>IF($AE247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-243+0.5)/3.5))))</f>
        <v/>
      </c>
      <c r="J247" s="12">
        <f>IF($AE247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-243+0.5)/3.5))))</f>
        <v/>
      </c>
      <c r="K247" s="13">
        <f>IF($AE247="","",IFERROR(INDEX(Players!$U$2:$U$301,$AE247),""))</f>
        <v/>
      </c>
      <c r="L247" s="13">
        <f>IF($AE247="","",IFERROR(INDEX(Players!$X$2:$X$301,$AE247),""))</f>
        <v/>
      </c>
      <c r="M247" s="14">
        <f>IF($AE247="","",IFERROR(INDEX(Players!$K$2:$K$301,$AE247),""))</f>
        <v/>
      </c>
      <c r="N247" s="14">
        <f>IF($AE247="","",IFERROR(INDEX(Players!$H$2:$H$301,$AE247),""))</f>
        <v/>
      </c>
      <c r="O247" s="15">
        <f>IF($AE247="","",IFERROR(INDEX(Players!$G$2:$G$301,$AE247),""))</f>
        <v/>
      </c>
      <c r="P247" s="14">
        <f>IF($AE247="","",IFERROR(INDEX(Players!$I$2:$I$301,$AE247),""))</f>
        <v/>
      </c>
      <c r="Q247" s="14">
        <f>IF($AE247="","",IFERROR(INDEX(Players!$F$2:$F$301,$AE247),""))</f>
        <v/>
      </c>
      <c r="R247" s="14">
        <f>IF($AE247="","",IFERROR(INDEX(Players!$J$2:$J$301,$AE247),""))</f>
        <v/>
      </c>
      <c r="S247" s="15">
        <f>IF($AE247="","",IFERROR(INDEX(Players!$L$2:$L$301,$AE247),""))</f>
        <v/>
      </c>
      <c r="T247" s="14">
        <f>IF($AE247="","",IFERROR(INDEX(Players!$M$2:$M$301,$AE247),""))</f>
        <v/>
      </c>
      <c r="U247" s="14">
        <f>IF($AE247="","",IFERROR(INDEX(Players!$N$2:$N$301,$AE247),""))</f>
        <v/>
      </c>
      <c r="V247" s="14">
        <f>IF($AE247="","",IFERROR(INDEX(Players!$O$2:$O$301,$AE247),""))</f>
        <v/>
      </c>
      <c r="W247" s="14">
        <f>IF($AE247="","",IFERROR(INDEX(Players!$P$2:$P$301,$AE247),""))</f>
        <v/>
      </c>
      <c r="X247" s="14">
        <f>IF($AE247="","",IFERROR(INDEX(Players!$Q$2:$Q$301,$AE247),""))</f>
        <v/>
      </c>
      <c r="Y247" s="14">
        <f>IF($AE247="","",IFERROR(INDEX(Players!$R$2:$R$301,$AE247),""))</f>
        <v/>
      </c>
      <c r="AE247">
        <f>IFERROR(MATCH(LARGE(Players!$V$2:$V$301,243),Players!$V$2:$V$301,0),"")</f>
        <v/>
      </c>
    </row>
    <row r="248">
      <c r="E248" s="9" t="n">
        <v>244</v>
      </c>
      <c r="F248">
        <f>IF($AE248="","",IFERROR(INDEX(Players!$B$2:$B$301,$AE248),""))</f>
        <v/>
      </c>
      <c r="G248">
        <f>IF($AE248="","",IFERROR(INDEX(Players!$D$2:$D$301,$AE248),""))</f>
        <v/>
      </c>
      <c r="H248">
        <f>IF($AE248="","",IFERROR(INDEX(Players!$C$2:$C$301,$AE248),""))</f>
        <v/>
      </c>
      <c r="I248" s="12">
        <f>IF($AE248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-244+0.5)/3.5))))</f>
        <v/>
      </c>
      <c r="J248" s="12">
        <f>IF($AE248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-244+0.5)/3.5))))</f>
        <v/>
      </c>
      <c r="K248" s="13">
        <f>IF($AE248="","",IFERROR(INDEX(Players!$U$2:$U$301,$AE248),""))</f>
        <v/>
      </c>
      <c r="L248" s="13">
        <f>IF($AE248="","",IFERROR(INDEX(Players!$X$2:$X$301,$AE248),""))</f>
        <v/>
      </c>
      <c r="M248" s="14">
        <f>IF($AE248="","",IFERROR(INDEX(Players!$K$2:$K$301,$AE248),""))</f>
        <v/>
      </c>
      <c r="N248" s="14">
        <f>IF($AE248="","",IFERROR(INDEX(Players!$H$2:$H$301,$AE248),""))</f>
        <v/>
      </c>
      <c r="O248" s="15">
        <f>IF($AE248="","",IFERROR(INDEX(Players!$G$2:$G$301,$AE248),""))</f>
        <v/>
      </c>
      <c r="P248" s="14">
        <f>IF($AE248="","",IFERROR(INDEX(Players!$I$2:$I$301,$AE248),""))</f>
        <v/>
      </c>
      <c r="Q248" s="14">
        <f>IF($AE248="","",IFERROR(INDEX(Players!$F$2:$F$301,$AE248),""))</f>
        <v/>
      </c>
      <c r="R248" s="14">
        <f>IF($AE248="","",IFERROR(INDEX(Players!$J$2:$J$301,$AE248),""))</f>
        <v/>
      </c>
      <c r="S248" s="15">
        <f>IF($AE248="","",IFERROR(INDEX(Players!$L$2:$L$301,$AE248),""))</f>
        <v/>
      </c>
      <c r="T248" s="14">
        <f>IF($AE248="","",IFERROR(INDEX(Players!$M$2:$M$301,$AE248),""))</f>
        <v/>
      </c>
      <c r="U248" s="14">
        <f>IF($AE248="","",IFERROR(INDEX(Players!$N$2:$N$301,$AE248),""))</f>
        <v/>
      </c>
      <c r="V248" s="14">
        <f>IF($AE248="","",IFERROR(INDEX(Players!$O$2:$O$301,$AE248),""))</f>
        <v/>
      </c>
      <c r="W248" s="14">
        <f>IF($AE248="","",IFERROR(INDEX(Players!$P$2:$P$301,$AE248),""))</f>
        <v/>
      </c>
      <c r="X248" s="14">
        <f>IF($AE248="","",IFERROR(INDEX(Players!$Q$2:$Q$301,$AE248),""))</f>
        <v/>
      </c>
      <c r="Y248" s="14">
        <f>IF($AE248="","",IFERROR(INDEX(Players!$R$2:$R$301,$AE248),""))</f>
        <v/>
      </c>
      <c r="AE248">
        <f>IFERROR(MATCH(LARGE(Players!$V$2:$V$301,244),Players!$V$2:$V$301,0),"")</f>
        <v/>
      </c>
    </row>
    <row r="249">
      <c r="E249" s="9" t="n">
        <v>245</v>
      </c>
      <c r="F249">
        <f>IF($AE249="","",IFERROR(INDEX(Players!$B$2:$B$301,$AE249),""))</f>
        <v/>
      </c>
      <c r="G249">
        <f>IF($AE249="","",IFERROR(INDEX(Players!$D$2:$D$301,$AE249),""))</f>
        <v/>
      </c>
      <c r="H249">
        <f>IF($AE249="","",IFERROR(INDEX(Players!$C$2:$C$301,$AE249),""))</f>
        <v/>
      </c>
      <c r="I249" s="12">
        <f>IF($AE249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-245+0.5)/3.5))))</f>
        <v/>
      </c>
      <c r="J249" s="12">
        <f>IF($AE249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-245+0.5)/3.5))))</f>
        <v/>
      </c>
      <c r="K249" s="13">
        <f>IF($AE249="","",IFERROR(INDEX(Players!$U$2:$U$301,$AE249),""))</f>
        <v/>
      </c>
      <c r="L249" s="13">
        <f>IF($AE249="","",IFERROR(INDEX(Players!$X$2:$X$301,$AE249),""))</f>
        <v/>
      </c>
      <c r="M249" s="14">
        <f>IF($AE249="","",IFERROR(INDEX(Players!$K$2:$K$301,$AE249),""))</f>
        <v/>
      </c>
      <c r="N249" s="14">
        <f>IF($AE249="","",IFERROR(INDEX(Players!$H$2:$H$301,$AE249),""))</f>
        <v/>
      </c>
      <c r="O249" s="15">
        <f>IF($AE249="","",IFERROR(INDEX(Players!$G$2:$G$301,$AE249),""))</f>
        <v/>
      </c>
      <c r="P249" s="14">
        <f>IF($AE249="","",IFERROR(INDEX(Players!$I$2:$I$301,$AE249),""))</f>
        <v/>
      </c>
      <c r="Q249" s="14">
        <f>IF($AE249="","",IFERROR(INDEX(Players!$F$2:$F$301,$AE249),""))</f>
        <v/>
      </c>
      <c r="R249" s="14">
        <f>IF($AE249="","",IFERROR(INDEX(Players!$J$2:$J$301,$AE249),""))</f>
        <v/>
      </c>
      <c r="S249" s="15">
        <f>IF($AE249="","",IFERROR(INDEX(Players!$L$2:$L$301,$AE249),""))</f>
        <v/>
      </c>
      <c r="T249" s="14">
        <f>IF($AE249="","",IFERROR(INDEX(Players!$M$2:$M$301,$AE249),""))</f>
        <v/>
      </c>
      <c r="U249" s="14">
        <f>IF($AE249="","",IFERROR(INDEX(Players!$N$2:$N$301,$AE249),""))</f>
        <v/>
      </c>
      <c r="V249" s="14">
        <f>IF($AE249="","",IFERROR(INDEX(Players!$O$2:$O$301,$AE249),""))</f>
        <v/>
      </c>
      <c r="W249" s="14">
        <f>IF($AE249="","",IFERROR(INDEX(Players!$P$2:$P$301,$AE249),""))</f>
        <v/>
      </c>
      <c r="X249" s="14">
        <f>IF($AE249="","",IFERROR(INDEX(Players!$Q$2:$Q$301,$AE249),""))</f>
        <v/>
      </c>
      <c r="Y249" s="14">
        <f>IF($AE249="","",IFERROR(INDEX(Players!$R$2:$R$301,$AE249),""))</f>
        <v/>
      </c>
      <c r="AE249">
        <f>IFERROR(MATCH(LARGE(Players!$V$2:$V$301,245),Players!$V$2:$V$301,0),"")</f>
        <v/>
      </c>
    </row>
    <row r="250">
      <c r="E250" s="9" t="n">
        <v>246</v>
      </c>
      <c r="F250">
        <f>IF($AE250="","",IFERROR(INDEX(Players!$B$2:$B$301,$AE250),""))</f>
        <v/>
      </c>
      <c r="G250">
        <f>IF($AE250="","",IFERROR(INDEX(Players!$D$2:$D$301,$AE250),""))</f>
        <v/>
      </c>
      <c r="H250">
        <f>IF($AE250="","",IFERROR(INDEX(Players!$C$2:$C$301,$AE250),""))</f>
        <v/>
      </c>
      <c r="I250" s="12">
        <f>IF($AE250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-246+0.5)/3.5))))</f>
        <v/>
      </c>
      <c r="J250" s="12">
        <f>IF($AE250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-246+0.5)/3.5))))</f>
        <v/>
      </c>
      <c r="K250" s="13">
        <f>IF($AE250="","",IFERROR(INDEX(Players!$U$2:$U$301,$AE250),""))</f>
        <v/>
      </c>
      <c r="L250" s="13">
        <f>IF($AE250="","",IFERROR(INDEX(Players!$X$2:$X$301,$AE250),""))</f>
        <v/>
      </c>
      <c r="M250" s="14">
        <f>IF($AE250="","",IFERROR(INDEX(Players!$K$2:$K$301,$AE250),""))</f>
        <v/>
      </c>
      <c r="N250" s="14">
        <f>IF($AE250="","",IFERROR(INDEX(Players!$H$2:$H$301,$AE250),""))</f>
        <v/>
      </c>
      <c r="O250" s="15">
        <f>IF($AE250="","",IFERROR(INDEX(Players!$G$2:$G$301,$AE250),""))</f>
        <v/>
      </c>
      <c r="P250" s="14">
        <f>IF($AE250="","",IFERROR(INDEX(Players!$I$2:$I$301,$AE250),""))</f>
        <v/>
      </c>
      <c r="Q250" s="14">
        <f>IF($AE250="","",IFERROR(INDEX(Players!$F$2:$F$301,$AE250),""))</f>
        <v/>
      </c>
      <c r="R250" s="14">
        <f>IF($AE250="","",IFERROR(INDEX(Players!$J$2:$J$301,$AE250),""))</f>
        <v/>
      </c>
      <c r="S250" s="15">
        <f>IF($AE250="","",IFERROR(INDEX(Players!$L$2:$L$301,$AE250),""))</f>
        <v/>
      </c>
      <c r="T250" s="14">
        <f>IF($AE250="","",IFERROR(INDEX(Players!$M$2:$M$301,$AE250),""))</f>
        <v/>
      </c>
      <c r="U250" s="14">
        <f>IF($AE250="","",IFERROR(INDEX(Players!$N$2:$N$301,$AE250),""))</f>
        <v/>
      </c>
      <c r="V250" s="14">
        <f>IF($AE250="","",IFERROR(INDEX(Players!$O$2:$O$301,$AE250),""))</f>
        <v/>
      </c>
      <c r="W250" s="14">
        <f>IF($AE250="","",IFERROR(INDEX(Players!$P$2:$P$301,$AE250),""))</f>
        <v/>
      </c>
      <c r="X250" s="14">
        <f>IF($AE250="","",IFERROR(INDEX(Players!$Q$2:$Q$301,$AE250),""))</f>
        <v/>
      </c>
      <c r="Y250" s="14">
        <f>IF($AE250="","",IFERROR(INDEX(Players!$R$2:$R$301,$AE250),""))</f>
        <v/>
      </c>
      <c r="AE250">
        <f>IFERROR(MATCH(LARGE(Players!$V$2:$V$301,246),Players!$V$2:$V$301,0),"")</f>
        <v/>
      </c>
    </row>
    <row r="251">
      <c r="E251" s="9" t="n">
        <v>247</v>
      </c>
      <c r="F251">
        <f>IF($AE251="","",IFERROR(INDEX(Players!$B$2:$B$301,$AE251),""))</f>
        <v/>
      </c>
      <c r="G251">
        <f>IF($AE251="","",IFERROR(INDEX(Players!$D$2:$D$301,$AE251),""))</f>
        <v/>
      </c>
      <c r="H251">
        <f>IF($AE251="","",IFERROR(INDEX(Players!$C$2:$C$301,$AE251),""))</f>
        <v/>
      </c>
      <c r="I251" s="12">
        <f>IF($AE251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-247+0.5)/3.5))))</f>
        <v/>
      </c>
      <c r="J251" s="12">
        <f>IF($AE251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-247+0.5)/3.5))))</f>
        <v/>
      </c>
      <c r="K251" s="13">
        <f>IF($AE251="","",IFERROR(INDEX(Players!$U$2:$U$301,$AE251),""))</f>
        <v/>
      </c>
      <c r="L251" s="13">
        <f>IF($AE251="","",IFERROR(INDEX(Players!$X$2:$X$301,$AE251),""))</f>
        <v/>
      </c>
      <c r="M251" s="14">
        <f>IF($AE251="","",IFERROR(INDEX(Players!$K$2:$K$301,$AE251),""))</f>
        <v/>
      </c>
      <c r="N251" s="14">
        <f>IF($AE251="","",IFERROR(INDEX(Players!$H$2:$H$301,$AE251),""))</f>
        <v/>
      </c>
      <c r="O251" s="15">
        <f>IF($AE251="","",IFERROR(INDEX(Players!$G$2:$G$301,$AE251),""))</f>
        <v/>
      </c>
      <c r="P251" s="14">
        <f>IF($AE251="","",IFERROR(INDEX(Players!$I$2:$I$301,$AE251),""))</f>
        <v/>
      </c>
      <c r="Q251" s="14">
        <f>IF($AE251="","",IFERROR(INDEX(Players!$F$2:$F$301,$AE251),""))</f>
        <v/>
      </c>
      <c r="R251" s="14">
        <f>IF($AE251="","",IFERROR(INDEX(Players!$J$2:$J$301,$AE251),""))</f>
        <v/>
      </c>
      <c r="S251" s="15">
        <f>IF($AE251="","",IFERROR(INDEX(Players!$L$2:$L$301,$AE251),""))</f>
        <v/>
      </c>
      <c r="T251" s="14">
        <f>IF($AE251="","",IFERROR(INDEX(Players!$M$2:$M$301,$AE251),""))</f>
        <v/>
      </c>
      <c r="U251" s="14">
        <f>IF($AE251="","",IFERROR(INDEX(Players!$N$2:$N$301,$AE251),""))</f>
        <v/>
      </c>
      <c r="V251" s="14">
        <f>IF($AE251="","",IFERROR(INDEX(Players!$O$2:$O$301,$AE251),""))</f>
        <v/>
      </c>
      <c r="W251" s="14">
        <f>IF($AE251="","",IFERROR(INDEX(Players!$P$2:$P$301,$AE251),""))</f>
        <v/>
      </c>
      <c r="X251" s="14">
        <f>IF($AE251="","",IFERROR(INDEX(Players!$Q$2:$Q$301,$AE251),""))</f>
        <v/>
      </c>
      <c r="Y251" s="14">
        <f>IF($AE251="","",IFERROR(INDEX(Players!$R$2:$R$301,$AE251),""))</f>
        <v/>
      </c>
      <c r="AE251">
        <f>IFERROR(MATCH(LARGE(Players!$V$2:$V$301,247),Players!$V$2:$V$301,0),"")</f>
        <v/>
      </c>
    </row>
    <row r="252">
      <c r="E252" s="9" t="n">
        <v>248</v>
      </c>
      <c r="F252">
        <f>IF($AE252="","",IFERROR(INDEX(Players!$B$2:$B$301,$AE252),""))</f>
        <v/>
      </c>
      <c r="G252">
        <f>IF($AE252="","",IFERROR(INDEX(Players!$D$2:$D$301,$AE252),""))</f>
        <v/>
      </c>
      <c r="H252">
        <f>IF($AE252="","",IFERROR(INDEX(Players!$C$2:$C$301,$AE252),""))</f>
        <v/>
      </c>
      <c r="I252" s="12">
        <f>IF($AE252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-248+0.5)/3.5))))</f>
        <v/>
      </c>
      <c r="J252" s="12">
        <f>IF($AE252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-248+0.5)/3.5))))</f>
        <v/>
      </c>
      <c r="K252" s="13">
        <f>IF($AE252="","",IFERROR(INDEX(Players!$U$2:$U$301,$AE252),""))</f>
        <v/>
      </c>
      <c r="L252" s="13">
        <f>IF($AE252="","",IFERROR(INDEX(Players!$X$2:$X$301,$AE252),""))</f>
        <v/>
      </c>
      <c r="M252" s="14">
        <f>IF($AE252="","",IFERROR(INDEX(Players!$K$2:$K$301,$AE252),""))</f>
        <v/>
      </c>
      <c r="N252" s="14">
        <f>IF($AE252="","",IFERROR(INDEX(Players!$H$2:$H$301,$AE252),""))</f>
        <v/>
      </c>
      <c r="O252" s="15">
        <f>IF($AE252="","",IFERROR(INDEX(Players!$G$2:$G$301,$AE252),""))</f>
        <v/>
      </c>
      <c r="P252" s="14">
        <f>IF($AE252="","",IFERROR(INDEX(Players!$I$2:$I$301,$AE252),""))</f>
        <v/>
      </c>
      <c r="Q252" s="14">
        <f>IF($AE252="","",IFERROR(INDEX(Players!$F$2:$F$301,$AE252),""))</f>
        <v/>
      </c>
      <c r="R252" s="14">
        <f>IF($AE252="","",IFERROR(INDEX(Players!$J$2:$J$301,$AE252),""))</f>
        <v/>
      </c>
      <c r="S252" s="15">
        <f>IF($AE252="","",IFERROR(INDEX(Players!$L$2:$L$301,$AE252),""))</f>
        <v/>
      </c>
      <c r="T252" s="14">
        <f>IF($AE252="","",IFERROR(INDEX(Players!$M$2:$M$301,$AE252),""))</f>
        <v/>
      </c>
      <c r="U252" s="14">
        <f>IF($AE252="","",IFERROR(INDEX(Players!$N$2:$N$301,$AE252),""))</f>
        <v/>
      </c>
      <c r="V252" s="14">
        <f>IF($AE252="","",IFERROR(INDEX(Players!$O$2:$O$301,$AE252),""))</f>
        <v/>
      </c>
      <c r="W252" s="14">
        <f>IF($AE252="","",IFERROR(INDEX(Players!$P$2:$P$301,$AE252),""))</f>
        <v/>
      </c>
      <c r="X252" s="14">
        <f>IF($AE252="","",IFERROR(INDEX(Players!$Q$2:$Q$301,$AE252),""))</f>
        <v/>
      </c>
      <c r="Y252" s="14">
        <f>IF($AE252="","",IFERROR(INDEX(Players!$R$2:$R$301,$AE252),""))</f>
        <v/>
      </c>
      <c r="AE252">
        <f>IFERROR(MATCH(LARGE(Players!$V$2:$V$301,248),Players!$V$2:$V$301,0),"")</f>
        <v/>
      </c>
    </row>
    <row r="253">
      <c r="E253" s="9" t="n">
        <v>249</v>
      </c>
      <c r="F253">
        <f>IF($AE253="","",IFERROR(INDEX(Players!$B$2:$B$301,$AE253),""))</f>
        <v/>
      </c>
      <c r="G253">
        <f>IF($AE253="","",IFERROR(INDEX(Players!$D$2:$D$301,$AE253),""))</f>
        <v/>
      </c>
      <c r="H253">
        <f>IF($AE253="","",IFERROR(INDEX(Players!$C$2:$C$301,$AE253),""))</f>
        <v/>
      </c>
      <c r="I253" s="12">
        <f>IF($AE253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-249+0.5)/3.5))))</f>
        <v/>
      </c>
      <c r="J253" s="12">
        <f>IF($AE253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-249+0.5)/3.5))))</f>
        <v/>
      </c>
      <c r="K253" s="13">
        <f>IF($AE253="","",IFERROR(INDEX(Players!$U$2:$U$301,$AE253),""))</f>
        <v/>
      </c>
      <c r="L253" s="13">
        <f>IF($AE253="","",IFERROR(INDEX(Players!$X$2:$X$301,$AE253),""))</f>
        <v/>
      </c>
      <c r="M253" s="14">
        <f>IF($AE253="","",IFERROR(INDEX(Players!$K$2:$K$301,$AE253),""))</f>
        <v/>
      </c>
      <c r="N253" s="14">
        <f>IF($AE253="","",IFERROR(INDEX(Players!$H$2:$H$301,$AE253),""))</f>
        <v/>
      </c>
      <c r="O253" s="15">
        <f>IF($AE253="","",IFERROR(INDEX(Players!$G$2:$G$301,$AE253),""))</f>
        <v/>
      </c>
      <c r="P253" s="14">
        <f>IF($AE253="","",IFERROR(INDEX(Players!$I$2:$I$301,$AE253),""))</f>
        <v/>
      </c>
      <c r="Q253" s="14">
        <f>IF($AE253="","",IFERROR(INDEX(Players!$F$2:$F$301,$AE253),""))</f>
        <v/>
      </c>
      <c r="R253" s="14">
        <f>IF($AE253="","",IFERROR(INDEX(Players!$J$2:$J$301,$AE253),""))</f>
        <v/>
      </c>
      <c r="S253" s="15">
        <f>IF($AE253="","",IFERROR(INDEX(Players!$L$2:$L$301,$AE253),""))</f>
        <v/>
      </c>
      <c r="T253" s="14">
        <f>IF($AE253="","",IFERROR(INDEX(Players!$M$2:$M$301,$AE253),""))</f>
        <v/>
      </c>
      <c r="U253" s="14">
        <f>IF($AE253="","",IFERROR(INDEX(Players!$N$2:$N$301,$AE253),""))</f>
        <v/>
      </c>
      <c r="V253" s="14">
        <f>IF($AE253="","",IFERROR(INDEX(Players!$O$2:$O$301,$AE253),""))</f>
        <v/>
      </c>
      <c r="W253" s="14">
        <f>IF($AE253="","",IFERROR(INDEX(Players!$P$2:$P$301,$AE253),""))</f>
        <v/>
      </c>
      <c r="X253" s="14">
        <f>IF($AE253="","",IFERROR(INDEX(Players!$Q$2:$Q$301,$AE253),""))</f>
        <v/>
      </c>
      <c r="Y253" s="14">
        <f>IF($AE253="","",IFERROR(INDEX(Players!$R$2:$R$301,$AE253),""))</f>
        <v/>
      </c>
      <c r="AE253">
        <f>IFERROR(MATCH(LARGE(Players!$V$2:$V$301,249),Players!$V$2:$V$301,0),"")</f>
        <v/>
      </c>
    </row>
    <row r="254">
      <c r="E254" s="9" t="n">
        <v>250</v>
      </c>
      <c r="F254">
        <f>IF($AE254="","",IFERROR(INDEX(Players!$B$2:$B$301,$AE254),""))</f>
        <v/>
      </c>
      <c r="G254">
        <f>IF($AE254="","",IFERROR(INDEX(Players!$D$2:$D$301,$AE254),""))</f>
        <v/>
      </c>
      <c r="H254">
        <f>IF($AE254="","",IFERROR(INDEX(Players!$C$2:$C$301,$AE254),""))</f>
        <v/>
      </c>
      <c r="I254" s="12">
        <f>IF($AE254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-250+0.5)/3.5))))</f>
        <v/>
      </c>
      <c r="J254" s="12">
        <f>IF($AE254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-250+0.5)/3.5))))</f>
        <v/>
      </c>
      <c r="K254" s="13">
        <f>IF($AE254="","",IFERROR(INDEX(Players!$U$2:$U$301,$AE254),""))</f>
        <v/>
      </c>
      <c r="L254" s="13">
        <f>IF($AE254="","",IFERROR(INDEX(Players!$X$2:$X$301,$AE254),""))</f>
        <v/>
      </c>
      <c r="M254" s="14">
        <f>IF($AE254="","",IFERROR(INDEX(Players!$K$2:$K$301,$AE254),""))</f>
        <v/>
      </c>
      <c r="N254" s="14">
        <f>IF($AE254="","",IFERROR(INDEX(Players!$H$2:$H$301,$AE254),""))</f>
        <v/>
      </c>
      <c r="O254" s="15">
        <f>IF($AE254="","",IFERROR(INDEX(Players!$G$2:$G$301,$AE254),""))</f>
        <v/>
      </c>
      <c r="P254" s="14">
        <f>IF($AE254="","",IFERROR(INDEX(Players!$I$2:$I$301,$AE254),""))</f>
        <v/>
      </c>
      <c r="Q254" s="14">
        <f>IF($AE254="","",IFERROR(INDEX(Players!$F$2:$F$301,$AE254),""))</f>
        <v/>
      </c>
      <c r="R254" s="14">
        <f>IF($AE254="","",IFERROR(INDEX(Players!$J$2:$J$301,$AE254),""))</f>
        <v/>
      </c>
      <c r="S254" s="15">
        <f>IF($AE254="","",IFERROR(INDEX(Players!$L$2:$L$301,$AE254),""))</f>
        <v/>
      </c>
      <c r="T254" s="14">
        <f>IF($AE254="","",IFERROR(INDEX(Players!$M$2:$M$301,$AE254),""))</f>
        <v/>
      </c>
      <c r="U254" s="14">
        <f>IF($AE254="","",IFERROR(INDEX(Players!$N$2:$N$301,$AE254),""))</f>
        <v/>
      </c>
      <c r="V254" s="14">
        <f>IF($AE254="","",IFERROR(INDEX(Players!$O$2:$O$301,$AE254),""))</f>
        <v/>
      </c>
      <c r="W254" s="14">
        <f>IF($AE254="","",IFERROR(INDEX(Players!$P$2:$P$301,$AE254),""))</f>
        <v/>
      </c>
      <c r="X254" s="14">
        <f>IF($AE254="","",IFERROR(INDEX(Players!$Q$2:$Q$301,$AE254),""))</f>
        <v/>
      </c>
      <c r="Y254" s="14">
        <f>IF($AE254="","",IFERROR(INDEX(Players!$R$2:$R$301,$AE254),""))</f>
        <v/>
      </c>
      <c r="AE254">
        <f>IFERROR(MATCH(LARGE(Players!$V$2:$V$301,250),Players!$V$2:$V$301,0),"")</f>
        <v/>
      </c>
    </row>
    <row r="255">
      <c r="E255" s="9" t="n">
        <v>251</v>
      </c>
      <c r="F255">
        <f>IF($AE255="","",IFERROR(INDEX(Players!$B$2:$B$301,$AE255),""))</f>
        <v/>
      </c>
      <c r="G255">
        <f>IF($AE255="","",IFERROR(INDEX(Players!$D$2:$D$301,$AE255),""))</f>
        <v/>
      </c>
      <c r="H255">
        <f>IF($AE255="","",IFERROR(INDEX(Players!$C$2:$C$301,$AE255),""))</f>
        <v/>
      </c>
      <c r="I255" s="12">
        <f>IF($AE255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-251+0.5)/3.5))))</f>
        <v/>
      </c>
      <c r="J255" s="12">
        <f>IF($AE255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-251+0.5)/3.5))))</f>
        <v/>
      </c>
      <c r="K255" s="13">
        <f>IF($AE255="","",IFERROR(INDEX(Players!$U$2:$U$301,$AE255),""))</f>
        <v/>
      </c>
      <c r="L255" s="13">
        <f>IF($AE255="","",IFERROR(INDEX(Players!$X$2:$X$301,$AE255),""))</f>
        <v/>
      </c>
      <c r="M255" s="14">
        <f>IF($AE255="","",IFERROR(INDEX(Players!$K$2:$K$301,$AE255),""))</f>
        <v/>
      </c>
      <c r="N255" s="14">
        <f>IF($AE255="","",IFERROR(INDEX(Players!$H$2:$H$301,$AE255),""))</f>
        <v/>
      </c>
      <c r="O255" s="15">
        <f>IF($AE255="","",IFERROR(INDEX(Players!$G$2:$G$301,$AE255),""))</f>
        <v/>
      </c>
      <c r="P255" s="14">
        <f>IF($AE255="","",IFERROR(INDEX(Players!$I$2:$I$301,$AE255),""))</f>
        <v/>
      </c>
      <c r="Q255" s="14">
        <f>IF($AE255="","",IFERROR(INDEX(Players!$F$2:$F$301,$AE255),""))</f>
        <v/>
      </c>
      <c r="R255" s="14">
        <f>IF($AE255="","",IFERROR(INDEX(Players!$J$2:$J$301,$AE255),""))</f>
        <v/>
      </c>
      <c r="S255" s="15">
        <f>IF($AE255="","",IFERROR(INDEX(Players!$L$2:$L$301,$AE255),""))</f>
        <v/>
      </c>
      <c r="T255" s="14">
        <f>IF($AE255="","",IFERROR(INDEX(Players!$M$2:$M$301,$AE255),""))</f>
        <v/>
      </c>
      <c r="U255" s="14">
        <f>IF($AE255="","",IFERROR(INDEX(Players!$N$2:$N$301,$AE255),""))</f>
        <v/>
      </c>
      <c r="V255" s="14">
        <f>IF($AE255="","",IFERROR(INDEX(Players!$O$2:$O$301,$AE255),""))</f>
        <v/>
      </c>
      <c r="W255" s="14">
        <f>IF($AE255="","",IFERROR(INDEX(Players!$P$2:$P$301,$AE255),""))</f>
        <v/>
      </c>
      <c r="X255" s="14">
        <f>IF($AE255="","",IFERROR(INDEX(Players!$Q$2:$Q$301,$AE255),""))</f>
        <v/>
      </c>
      <c r="Y255" s="14">
        <f>IF($AE255="","",IFERROR(INDEX(Players!$R$2:$R$301,$AE255),""))</f>
        <v/>
      </c>
      <c r="AE255">
        <f>IFERROR(MATCH(LARGE(Players!$V$2:$V$301,251),Players!$V$2:$V$301,0),"")</f>
        <v/>
      </c>
    </row>
    <row r="256">
      <c r="E256" s="9" t="n">
        <v>252</v>
      </c>
      <c r="F256">
        <f>IF($AE256="","",IFERROR(INDEX(Players!$B$2:$B$301,$AE256),""))</f>
        <v/>
      </c>
      <c r="G256">
        <f>IF($AE256="","",IFERROR(INDEX(Players!$D$2:$D$301,$AE256),""))</f>
        <v/>
      </c>
      <c r="H256">
        <f>IF($AE256="","",IFERROR(INDEX(Players!$C$2:$C$301,$AE256),""))</f>
        <v/>
      </c>
      <c r="I256" s="12">
        <f>IF($AE256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-252+0.5)/3.5))))</f>
        <v/>
      </c>
      <c r="J256" s="12">
        <f>IF($AE256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-252+0.5)/3.5))))</f>
        <v/>
      </c>
      <c r="K256" s="13">
        <f>IF($AE256="","",IFERROR(INDEX(Players!$U$2:$U$301,$AE256),""))</f>
        <v/>
      </c>
      <c r="L256" s="13">
        <f>IF($AE256="","",IFERROR(INDEX(Players!$X$2:$X$301,$AE256),""))</f>
        <v/>
      </c>
      <c r="M256" s="14">
        <f>IF($AE256="","",IFERROR(INDEX(Players!$K$2:$K$301,$AE256),""))</f>
        <v/>
      </c>
      <c r="N256" s="14">
        <f>IF($AE256="","",IFERROR(INDEX(Players!$H$2:$H$301,$AE256),""))</f>
        <v/>
      </c>
      <c r="O256" s="15">
        <f>IF($AE256="","",IFERROR(INDEX(Players!$G$2:$G$301,$AE256),""))</f>
        <v/>
      </c>
      <c r="P256" s="14">
        <f>IF($AE256="","",IFERROR(INDEX(Players!$I$2:$I$301,$AE256),""))</f>
        <v/>
      </c>
      <c r="Q256" s="14">
        <f>IF($AE256="","",IFERROR(INDEX(Players!$F$2:$F$301,$AE256),""))</f>
        <v/>
      </c>
      <c r="R256" s="14">
        <f>IF($AE256="","",IFERROR(INDEX(Players!$J$2:$J$301,$AE256),""))</f>
        <v/>
      </c>
      <c r="S256" s="15">
        <f>IF($AE256="","",IFERROR(INDEX(Players!$L$2:$L$301,$AE256),""))</f>
        <v/>
      </c>
      <c r="T256" s="14">
        <f>IF($AE256="","",IFERROR(INDEX(Players!$M$2:$M$301,$AE256),""))</f>
        <v/>
      </c>
      <c r="U256" s="14">
        <f>IF($AE256="","",IFERROR(INDEX(Players!$N$2:$N$301,$AE256),""))</f>
        <v/>
      </c>
      <c r="V256" s="14">
        <f>IF($AE256="","",IFERROR(INDEX(Players!$O$2:$O$301,$AE256),""))</f>
        <v/>
      </c>
      <c r="W256" s="14">
        <f>IF($AE256="","",IFERROR(INDEX(Players!$P$2:$P$301,$AE256),""))</f>
        <v/>
      </c>
      <c r="X256" s="14">
        <f>IF($AE256="","",IFERROR(INDEX(Players!$Q$2:$Q$301,$AE256),""))</f>
        <v/>
      </c>
      <c r="Y256" s="14">
        <f>IF($AE256="","",IFERROR(INDEX(Players!$R$2:$R$301,$AE256),""))</f>
        <v/>
      </c>
      <c r="AE256">
        <f>IFERROR(MATCH(LARGE(Players!$V$2:$V$301,252),Players!$V$2:$V$301,0),"")</f>
        <v/>
      </c>
    </row>
    <row r="257">
      <c r="E257" s="9" t="n">
        <v>253</v>
      </c>
      <c r="F257">
        <f>IF($AE257="","",IFERROR(INDEX(Players!$B$2:$B$301,$AE257),""))</f>
        <v/>
      </c>
      <c r="G257">
        <f>IF($AE257="","",IFERROR(INDEX(Players!$D$2:$D$301,$AE257),""))</f>
        <v/>
      </c>
      <c r="H257">
        <f>IF($AE257="","",IFERROR(INDEX(Players!$C$2:$C$301,$AE257),""))</f>
        <v/>
      </c>
      <c r="I257" s="12">
        <f>IF($AE257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-253+0.5)/3.5))))</f>
        <v/>
      </c>
      <c r="J257" s="12">
        <f>IF($AE257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-253+0.5)/3.5))))</f>
        <v/>
      </c>
      <c r="K257" s="13">
        <f>IF($AE257="","",IFERROR(INDEX(Players!$U$2:$U$301,$AE257),""))</f>
        <v/>
      </c>
      <c r="L257" s="13">
        <f>IF($AE257="","",IFERROR(INDEX(Players!$X$2:$X$301,$AE257),""))</f>
        <v/>
      </c>
      <c r="M257" s="14">
        <f>IF($AE257="","",IFERROR(INDEX(Players!$K$2:$K$301,$AE257),""))</f>
        <v/>
      </c>
      <c r="N257" s="14">
        <f>IF($AE257="","",IFERROR(INDEX(Players!$H$2:$H$301,$AE257),""))</f>
        <v/>
      </c>
      <c r="O257" s="15">
        <f>IF($AE257="","",IFERROR(INDEX(Players!$G$2:$G$301,$AE257),""))</f>
        <v/>
      </c>
      <c r="P257" s="14">
        <f>IF($AE257="","",IFERROR(INDEX(Players!$I$2:$I$301,$AE257),""))</f>
        <v/>
      </c>
      <c r="Q257" s="14">
        <f>IF($AE257="","",IFERROR(INDEX(Players!$F$2:$F$301,$AE257),""))</f>
        <v/>
      </c>
      <c r="R257" s="14">
        <f>IF($AE257="","",IFERROR(INDEX(Players!$J$2:$J$301,$AE257),""))</f>
        <v/>
      </c>
      <c r="S257" s="15">
        <f>IF($AE257="","",IFERROR(INDEX(Players!$L$2:$L$301,$AE257),""))</f>
        <v/>
      </c>
      <c r="T257" s="14">
        <f>IF($AE257="","",IFERROR(INDEX(Players!$M$2:$M$301,$AE257),""))</f>
        <v/>
      </c>
      <c r="U257" s="14">
        <f>IF($AE257="","",IFERROR(INDEX(Players!$N$2:$N$301,$AE257),""))</f>
        <v/>
      </c>
      <c r="V257" s="14">
        <f>IF($AE257="","",IFERROR(INDEX(Players!$O$2:$O$301,$AE257),""))</f>
        <v/>
      </c>
      <c r="W257" s="14">
        <f>IF($AE257="","",IFERROR(INDEX(Players!$P$2:$P$301,$AE257),""))</f>
        <v/>
      </c>
      <c r="X257" s="14">
        <f>IF($AE257="","",IFERROR(INDEX(Players!$Q$2:$Q$301,$AE257),""))</f>
        <v/>
      </c>
      <c r="Y257" s="14">
        <f>IF($AE257="","",IFERROR(INDEX(Players!$R$2:$R$301,$AE257),""))</f>
        <v/>
      </c>
      <c r="AE257">
        <f>IFERROR(MATCH(LARGE(Players!$V$2:$V$301,253),Players!$V$2:$V$301,0),"")</f>
        <v/>
      </c>
    </row>
    <row r="258">
      <c r="E258" s="9" t="n">
        <v>254</v>
      </c>
      <c r="F258">
        <f>IF($AE258="","",IFERROR(INDEX(Players!$B$2:$B$301,$AE258),""))</f>
        <v/>
      </c>
      <c r="G258">
        <f>IF($AE258="","",IFERROR(INDEX(Players!$D$2:$D$301,$AE258),""))</f>
        <v/>
      </c>
      <c r="H258">
        <f>IF($AE258="","",IFERROR(INDEX(Players!$C$2:$C$301,$AE258),""))</f>
        <v/>
      </c>
      <c r="I258" s="12">
        <f>IF($AE258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-254+0.5)/3.5))))</f>
        <v/>
      </c>
      <c r="J258" s="12">
        <f>IF($AE258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-254+0.5)/3.5))))</f>
        <v/>
      </c>
      <c r="K258" s="13">
        <f>IF($AE258="","",IFERROR(INDEX(Players!$U$2:$U$301,$AE258),""))</f>
        <v/>
      </c>
      <c r="L258" s="13">
        <f>IF($AE258="","",IFERROR(INDEX(Players!$X$2:$X$301,$AE258),""))</f>
        <v/>
      </c>
      <c r="M258" s="14">
        <f>IF($AE258="","",IFERROR(INDEX(Players!$K$2:$K$301,$AE258),""))</f>
        <v/>
      </c>
      <c r="N258" s="14">
        <f>IF($AE258="","",IFERROR(INDEX(Players!$H$2:$H$301,$AE258),""))</f>
        <v/>
      </c>
      <c r="O258" s="15">
        <f>IF($AE258="","",IFERROR(INDEX(Players!$G$2:$G$301,$AE258),""))</f>
        <v/>
      </c>
      <c r="P258" s="14">
        <f>IF($AE258="","",IFERROR(INDEX(Players!$I$2:$I$301,$AE258),""))</f>
        <v/>
      </c>
      <c r="Q258" s="14">
        <f>IF($AE258="","",IFERROR(INDEX(Players!$F$2:$F$301,$AE258),""))</f>
        <v/>
      </c>
      <c r="R258" s="14">
        <f>IF($AE258="","",IFERROR(INDEX(Players!$J$2:$J$301,$AE258),""))</f>
        <v/>
      </c>
      <c r="S258" s="15">
        <f>IF($AE258="","",IFERROR(INDEX(Players!$L$2:$L$301,$AE258),""))</f>
        <v/>
      </c>
      <c r="T258" s="14">
        <f>IF($AE258="","",IFERROR(INDEX(Players!$M$2:$M$301,$AE258),""))</f>
        <v/>
      </c>
      <c r="U258" s="14">
        <f>IF($AE258="","",IFERROR(INDEX(Players!$N$2:$N$301,$AE258),""))</f>
        <v/>
      </c>
      <c r="V258" s="14">
        <f>IF($AE258="","",IFERROR(INDEX(Players!$O$2:$O$301,$AE258),""))</f>
        <v/>
      </c>
      <c r="W258" s="14">
        <f>IF($AE258="","",IFERROR(INDEX(Players!$P$2:$P$301,$AE258),""))</f>
        <v/>
      </c>
      <c r="X258" s="14">
        <f>IF($AE258="","",IFERROR(INDEX(Players!$Q$2:$Q$301,$AE258),""))</f>
        <v/>
      </c>
      <c r="Y258" s="14">
        <f>IF($AE258="","",IFERROR(INDEX(Players!$R$2:$R$301,$AE258),""))</f>
        <v/>
      </c>
      <c r="AE258">
        <f>IFERROR(MATCH(LARGE(Players!$V$2:$V$301,254),Players!$V$2:$V$301,0),"")</f>
        <v/>
      </c>
    </row>
    <row r="259">
      <c r="E259" s="9" t="n">
        <v>255</v>
      </c>
      <c r="F259">
        <f>IF($AE259="","",IFERROR(INDEX(Players!$B$2:$B$301,$AE259),""))</f>
        <v/>
      </c>
      <c r="G259">
        <f>IF($AE259="","",IFERROR(INDEX(Players!$D$2:$D$301,$AE259),""))</f>
        <v/>
      </c>
      <c r="H259">
        <f>IF($AE259="","",IFERROR(INDEX(Players!$C$2:$C$301,$AE259),""))</f>
        <v/>
      </c>
      <c r="I259" s="12">
        <f>IF($AE259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-255+0.5)/3.5))))</f>
        <v/>
      </c>
      <c r="J259" s="12">
        <f>IF($AE259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-255+0.5)/3.5))))</f>
        <v/>
      </c>
      <c r="K259" s="13">
        <f>IF($AE259="","",IFERROR(INDEX(Players!$U$2:$U$301,$AE259),""))</f>
        <v/>
      </c>
      <c r="L259" s="13">
        <f>IF($AE259="","",IFERROR(INDEX(Players!$X$2:$X$301,$AE259),""))</f>
        <v/>
      </c>
      <c r="M259" s="14">
        <f>IF($AE259="","",IFERROR(INDEX(Players!$K$2:$K$301,$AE259),""))</f>
        <v/>
      </c>
      <c r="N259" s="14">
        <f>IF($AE259="","",IFERROR(INDEX(Players!$H$2:$H$301,$AE259),""))</f>
        <v/>
      </c>
      <c r="O259" s="15">
        <f>IF($AE259="","",IFERROR(INDEX(Players!$G$2:$G$301,$AE259),""))</f>
        <v/>
      </c>
      <c r="P259" s="14">
        <f>IF($AE259="","",IFERROR(INDEX(Players!$I$2:$I$301,$AE259),""))</f>
        <v/>
      </c>
      <c r="Q259" s="14">
        <f>IF($AE259="","",IFERROR(INDEX(Players!$F$2:$F$301,$AE259),""))</f>
        <v/>
      </c>
      <c r="R259" s="14">
        <f>IF($AE259="","",IFERROR(INDEX(Players!$J$2:$J$301,$AE259),""))</f>
        <v/>
      </c>
      <c r="S259" s="15">
        <f>IF($AE259="","",IFERROR(INDEX(Players!$L$2:$L$301,$AE259),""))</f>
        <v/>
      </c>
      <c r="T259" s="14">
        <f>IF($AE259="","",IFERROR(INDEX(Players!$M$2:$M$301,$AE259),""))</f>
        <v/>
      </c>
      <c r="U259" s="14">
        <f>IF($AE259="","",IFERROR(INDEX(Players!$N$2:$N$301,$AE259),""))</f>
        <v/>
      </c>
      <c r="V259" s="14">
        <f>IF($AE259="","",IFERROR(INDEX(Players!$O$2:$O$301,$AE259),""))</f>
        <v/>
      </c>
      <c r="W259" s="14">
        <f>IF($AE259="","",IFERROR(INDEX(Players!$P$2:$P$301,$AE259),""))</f>
        <v/>
      </c>
      <c r="X259" s="14">
        <f>IF($AE259="","",IFERROR(INDEX(Players!$Q$2:$Q$301,$AE259),""))</f>
        <v/>
      </c>
      <c r="Y259" s="14">
        <f>IF($AE259="","",IFERROR(INDEX(Players!$R$2:$R$301,$AE259),""))</f>
        <v/>
      </c>
      <c r="AE259">
        <f>IFERROR(MATCH(LARGE(Players!$V$2:$V$301,255),Players!$V$2:$V$301,0),"")</f>
        <v/>
      </c>
    </row>
    <row r="260">
      <c r="E260" s="9" t="n">
        <v>256</v>
      </c>
      <c r="F260">
        <f>IF($AE260="","",IFERROR(INDEX(Players!$B$2:$B$301,$AE260),""))</f>
        <v/>
      </c>
      <c r="G260">
        <f>IF($AE260="","",IFERROR(INDEX(Players!$D$2:$D$301,$AE260),""))</f>
        <v/>
      </c>
      <c r="H260">
        <f>IF($AE260="","",IFERROR(INDEX(Players!$C$2:$C$301,$AE260),""))</f>
        <v/>
      </c>
      <c r="I260" s="12">
        <f>IF($AE260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-256+0.5)/3.5))))</f>
        <v/>
      </c>
      <c r="J260" s="12">
        <f>IF($AE260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-256+0.5)/3.5))))</f>
        <v/>
      </c>
      <c r="K260" s="13">
        <f>IF($AE260="","",IFERROR(INDEX(Players!$U$2:$U$301,$AE260),""))</f>
        <v/>
      </c>
      <c r="L260" s="13">
        <f>IF($AE260="","",IFERROR(INDEX(Players!$X$2:$X$301,$AE260),""))</f>
        <v/>
      </c>
      <c r="M260" s="14">
        <f>IF($AE260="","",IFERROR(INDEX(Players!$K$2:$K$301,$AE260),""))</f>
        <v/>
      </c>
      <c r="N260" s="14">
        <f>IF($AE260="","",IFERROR(INDEX(Players!$H$2:$H$301,$AE260),""))</f>
        <v/>
      </c>
      <c r="O260" s="15">
        <f>IF($AE260="","",IFERROR(INDEX(Players!$G$2:$G$301,$AE260),""))</f>
        <v/>
      </c>
      <c r="P260" s="14">
        <f>IF($AE260="","",IFERROR(INDEX(Players!$I$2:$I$301,$AE260),""))</f>
        <v/>
      </c>
      <c r="Q260" s="14">
        <f>IF($AE260="","",IFERROR(INDEX(Players!$F$2:$F$301,$AE260),""))</f>
        <v/>
      </c>
      <c r="R260" s="14">
        <f>IF($AE260="","",IFERROR(INDEX(Players!$J$2:$J$301,$AE260),""))</f>
        <v/>
      </c>
      <c r="S260" s="15">
        <f>IF($AE260="","",IFERROR(INDEX(Players!$L$2:$L$301,$AE260),""))</f>
        <v/>
      </c>
      <c r="T260" s="14">
        <f>IF($AE260="","",IFERROR(INDEX(Players!$M$2:$M$301,$AE260),""))</f>
        <v/>
      </c>
      <c r="U260" s="14">
        <f>IF($AE260="","",IFERROR(INDEX(Players!$N$2:$N$301,$AE260),""))</f>
        <v/>
      </c>
      <c r="V260" s="14">
        <f>IF($AE260="","",IFERROR(INDEX(Players!$O$2:$O$301,$AE260),""))</f>
        <v/>
      </c>
      <c r="W260" s="14">
        <f>IF($AE260="","",IFERROR(INDEX(Players!$P$2:$P$301,$AE260),""))</f>
        <v/>
      </c>
      <c r="X260" s="14">
        <f>IF($AE260="","",IFERROR(INDEX(Players!$Q$2:$Q$301,$AE260),""))</f>
        <v/>
      </c>
      <c r="Y260" s="14">
        <f>IF($AE260="","",IFERROR(INDEX(Players!$R$2:$R$301,$AE260),""))</f>
        <v/>
      </c>
      <c r="AE260">
        <f>IFERROR(MATCH(LARGE(Players!$V$2:$V$301,256),Players!$V$2:$V$301,0),"")</f>
        <v/>
      </c>
    </row>
    <row r="261">
      <c r="E261" s="9" t="n">
        <v>257</v>
      </c>
      <c r="F261">
        <f>IF($AE261="","",IFERROR(INDEX(Players!$B$2:$B$301,$AE261),""))</f>
        <v/>
      </c>
      <c r="G261">
        <f>IF($AE261="","",IFERROR(INDEX(Players!$D$2:$D$301,$AE261),""))</f>
        <v/>
      </c>
      <c r="H261">
        <f>IF($AE261="","",IFERROR(INDEX(Players!$C$2:$C$301,$AE261),""))</f>
        <v/>
      </c>
      <c r="I261" s="12">
        <f>IF($AE261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-257+0.5)/3.5))))</f>
        <v/>
      </c>
      <c r="J261" s="12">
        <f>IF($AE261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-257+0.5)/3.5))))</f>
        <v/>
      </c>
      <c r="K261" s="13">
        <f>IF($AE261="","",IFERROR(INDEX(Players!$U$2:$U$301,$AE261),""))</f>
        <v/>
      </c>
      <c r="L261" s="13">
        <f>IF($AE261="","",IFERROR(INDEX(Players!$X$2:$X$301,$AE261),""))</f>
        <v/>
      </c>
      <c r="M261" s="14">
        <f>IF($AE261="","",IFERROR(INDEX(Players!$K$2:$K$301,$AE261),""))</f>
        <v/>
      </c>
      <c r="N261" s="14">
        <f>IF($AE261="","",IFERROR(INDEX(Players!$H$2:$H$301,$AE261),""))</f>
        <v/>
      </c>
      <c r="O261" s="15">
        <f>IF($AE261="","",IFERROR(INDEX(Players!$G$2:$G$301,$AE261),""))</f>
        <v/>
      </c>
      <c r="P261" s="14">
        <f>IF($AE261="","",IFERROR(INDEX(Players!$I$2:$I$301,$AE261),""))</f>
        <v/>
      </c>
      <c r="Q261" s="14">
        <f>IF($AE261="","",IFERROR(INDEX(Players!$F$2:$F$301,$AE261),""))</f>
        <v/>
      </c>
      <c r="R261" s="14">
        <f>IF($AE261="","",IFERROR(INDEX(Players!$J$2:$J$301,$AE261),""))</f>
        <v/>
      </c>
      <c r="S261" s="15">
        <f>IF($AE261="","",IFERROR(INDEX(Players!$L$2:$L$301,$AE261),""))</f>
        <v/>
      </c>
      <c r="T261" s="14">
        <f>IF($AE261="","",IFERROR(INDEX(Players!$M$2:$M$301,$AE261),""))</f>
        <v/>
      </c>
      <c r="U261" s="14">
        <f>IF($AE261="","",IFERROR(INDEX(Players!$N$2:$N$301,$AE261),""))</f>
        <v/>
      </c>
      <c r="V261" s="14">
        <f>IF($AE261="","",IFERROR(INDEX(Players!$O$2:$O$301,$AE261),""))</f>
        <v/>
      </c>
      <c r="W261" s="14">
        <f>IF($AE261="","",IFERROR(INDEX(Players!$P$2:$P$301,$AE261),""))</f>
        <v/>
      </c>
      <c r="X261" s="14">
        <f>IF($AE261="","",IFERROR(INDEX(Players!$Q$2:$Q$301,$AE261),""))</f>
        <v/>
      </c>
      <c r="Y261" s="14">
        <f>IF($AE261="","",IFERROR(INDEX(Players!$R$2:$R$301,$AE261),""))</f>
        <v/>
      </c>
      <c r="AE261">
        <f>IFERROR(MATCH(LARGE(Players!$V$2:$V$301,257),Players!$V$2:$V$301,0),"")</f>
        <v/>
      </c>
    </row>
    <row r="262">
      <c r="E262" s="9" t="n">
        <v>258</v>
      </c>
      <c r="F262">
        <f>IF($AE262="","",IFERROR(INDEX(Players!$B$2:$B$301,$AE262),""))</f>
        <v/>
      </c>
      <c r="G262">
        <f>IF($AE262="","",IFERROR(INDEX(Players!$D$2:$D$301,$AE262),""))</f>
        <v/>
      </c>
      <c r="H262">
        <f>IF($AE262="","",IFERROR(INDEX(Players!$C$2:$C$301,$AE262),""))</f>
        <v/>
      </c>
      <c r="I262" s="12">
        <f>IF($AE262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-258+0.5)/3.5))))</f>
        <v/>
      </c>
      <c r="J262" s="12">
        <f>IF($AE262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-258+0.5)/3.5))))</f>
        <v/>
      </c>
      <c r="K262" s="13">
        <f>IF($AE262="","",IFERROR(INDEX(Players!$U$2:$U$301,$AE262),""))</f>
        <v/>
      </c>
      <c r="L262" s="13">
        <f>IF($AE262="","",IFERROR(INDEX(Players!$X$2:$X$301,$AE262),""))</f>
        <v/>
      </c>
      <c r="M262" s="14">
        <f>IF($AE262="","",IFERROR(INDEX(Players!$K$2:$K$301,$AE262),""))</f>
        <v/>
      </c>
      <c r="N262" s="14">
        <f>IF($AE262="","",IFERROR(INDEX(Players!$H$2:$H$301,$AE262),""))</f>
        <v/>
      </c>
      <c r="O262" s="15">
        <f>IF($AE262="","",IFERROR(INDEX(Players!$G$2:$G$301,$AE262),""))</f>
        <v/>
      </c>
      <c r="P262" s="14">
        <f>IF($AE262="","",IFERROR(INDEX(Players!$I$2:$I$301,$AE262),""))</f>
        <v/>
      </c>
      <c r="Q262" s="14">
        <f>IF($AE262="","",IFERROR(INDEX(Players!$F$2:$F$301,$AE262),""))</f>
        <v/>
      </c>
      <c r="R262" s="14">
        <f>IF($AE262="","",IFERROR(INDEX(Players!$J$2:$J$301,$AE262),""))</f>
        <v/>
      </c>
      <c r="S262" s="15">
        <f>IF($AE262="","",IFERROR(INDEX(Players!$L$2:$L$301,$AE262),""))</f>
        <v/>
      </c>
      <c r="T262" s="14">
        <f>IF($AE262="","",IFERROR(INDEX(Players!$M$2:$M$301,$AE262),""))</f>
        <v/>
      </c>
      <c r="U262" s="14">
        <f>IF($AE262="","",IFERROR(INDEX(Players!$N$2:$N$301,$AE262),""))</f>
        <v/>
      </c>
      <c r="V262" s="14">
        <f>IF($AE262="","",IFERROR(INDEX(Players!$O$2:$O$301,$AE262),""))</f>
        <v/>
      </c>
      <c r="W262" s="14">
        <f>IF($AE262="","",IFERROR(INDEX(Players!$P$2:$P$301,$AE262),""))</f>
        <v/>
      </c>
      <c r="X262" s="14">
        <f>IF($AE262="","",IFERROR(INDEX(Players!$Q$2:$Q$301,$AE262),""))</f>
        <v/>
      </c>
      <c r="Y262" s="14">
        <f>IF($AE262="","",IFERROR(INDEX(Players!$R$2:$R$301,$AE262),""))</f>
        <v/>
      </c>
      <c r="AE262">
        <f>IFERROR(MATCH(LARGE(Players!$V$2:$V$301,258),Players!$V$2:$V$301,0),"")</f>
        <v/>
      </c>
    </row>
    <row r="263">
      <c r="E263" s="9" t="n">
        <v>259</v>
      </c>
      <c r="F263">
        <f>IF($AE263="","",IFERROR(INDEX(Players!$B$2:$B$301,$AE263),""))</f>
        <v/>
      </c>
      <c r="G263">
        <f>IF($AE263="","",IFERROR(INDEX(Players!$D$2:$D$301,$AE263),""))</f>
        <v/>
      </c>
      <c r="H263">
        <f>IF($AE263="","",IFERROR(INDEX(Players!$C$2:$C$301,$AE263),""))</f>
        <v/>
      </c>
      <c r="I263" s="12">
        <f>IF($AE263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-259+0.5)/3.5))))</f>
        <v/>
      </c>
      <c r="J263" s="12">
        <f>IF($AE263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-259+0.5)/3.5))))</f>
        <v/>
      </c>
      <c r="K263" s="13">
        <f>IF($AE263="","",IFERROR(INDEX(Players!$U$2:$U$301,$AE263),""))</f>
        <v/>
      </c>
      <c r="L263" s="13">
        <f>IF($AE263="","",IFERROR(INDEX(Players!$X$2:$X$301,$AE263),""))</f>
        <v/>
      </c>
      <c r="M263" s="14">
        <f>IF($AE263="","",IFERROR(INDEX(Players!$K$2:$K$301,$AE263),""))</f>
        <v/>
      </c>
      <c r="N263" s="14">
        <f>IF($AE263="","",IFERROR(INDEX(Players!$H$2:$H$301,$AE263),""))</f>
        <v/>
      </c>
      <c r="O263" s="15">
        <f>IF($AE263="","",IFERROR(INDEX(Players!$G$2:$G$301,$AE263),""))</f>
        <v/>
      </c>
      <c r="P263" s="14">
        <f>IF($AE263="","",IFERROR(INDEX(Players!$I$2:$I$301,$AE263),""))</f>
        <v/>
      </c>
      <c r="Q263" s="14">
        <f>IF($AE263="","",IFERROR(INDEX(Players!$F$2:$F$301,$AE263),""))</f>
        <v/>
      </c>
      <c r="R263" s="14">
        <f>IF($AE263="","",IFERROR(INDEX(Players!$J$2:$J$301,$AE263),""))</f>
        <v/>
      </c>
      <c r="S263" s="15">
        <f>IF($AE263="","",IFERROR(INDEX(Players!$L$2:$L$301,$AE263),""))</f>
        <v/>
      </c>
      <c r="T263" s="14">
        <f>IF($AE263="","",IFERROR(INDEX(Players!$M$2:$M$301,$AE263),""))</f>
        <v/>
      </c>
      <c r="U263" s="14">
        <f>IF($AE263="","",IFERROR(INDEX(Players!$N$2:$N$301,$AE263),""))</f>
        <v/>
      </c>
      <c r="V263" s="14">
        <f>IF($AE263="","",IFERROR(INDEX(Players!$O$2:$O$301,$AE263),""))</f>
        <v/>
      </c>
      <c r="W263" s="14">
        <f>IF($AE263="","",IFERROR(INDEX(Players!$P$2:$P$301,$AE263),""))</f>
        <v/>
      </c>
      <c r="X263" s="14">
        <f>IF($AE263="","",IFERROR(INDEX(Players!$Q$2:$Q$301,$AE263),""))</f>
        <v/>
      </c>
      <c r="Y263" s="14">
        <f>IF($AE263="","",IFERROR(INDEX(Players!$R$2:$R$301,$AE263),""))</f>
        <v/>
      </c>
      <c r="AE263">
        <f>IFERROR(MATCH(LARGE(Players!$V$2:$V$301,259),Players!$V$2:$V$301,0),"")</f>
        <v/>
      </c>
    </row>
    <row r="264">
      <c r="E264" s="9" t="n">
        <v>260</v>
      </c>
      <c r="F264">
        <f>IF($AE264="","",IFERROR(INDEX(Players!$B$2:$B$301,$AE264),""))</f>
        <v/>
      </c>
      <c r="G264">
        <f>IF($AE264="","",IFERROR(INDEX(Players!$D$2:$D$301,$AE264),""))</f>
        <v/>
      </c>
      <c r="H264">
        <f>IF($AE264="","",IFERROR(INDEX(Players!$C$2:$C$301,$AE264),""))</f>
        <v/>
      </c>
      <c r="I264" s="12">
        <f>IF($AE264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-260+0.5)/3.5))))</f>
        <v/>
      </c>
      <c r="J264" s="12">
        <f>IF($AE264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-260+0.5)/3.5))))</f>
        <v/>
      </c>
      <c r="K264" s="13">
        <f>IF($AE264="","",IFERROR(INDEX(Players!$U$2:$U$301,$AE264),""))</f>
        <v/>
      </c>
      <c r="L264" s="13">
        <f>IF($AE264="","",IFERROR(INDEX(Players!$X$2:$X$301,$AE264),""))</f>
        <v/>
      </c>
      <c r="M264" s="14">
        <f>IF($AE264="","",IFERROR(INDEX(Players!$K$2:$K$301,$AE264),""))</f>
        <v/>
      </c>
      <c r="N264" s="14">
        <f>IF($AE264="","",IFERROR(INDEX(Players!$H$2:$H$301,$AE264),""))</f>
        <v/>
      </c>
      <c r="O264" s="15">
        <f>IF($AE264="","",IFERROR(INDEX(Players!$G$2:$G$301,$AE264),""))</f>
        <v/>
      </c>
      <c r="P264" s="14">
        <f>IF($AE264="","",IFERROR(INDEX(Players!$I$2:$I$301,$AE264),""))</f>
        <v/>
      </c>
      <c r="Q264" s="14">
        <f>IF($AE264="","",IFERROR(INDEX(Players!$F$2:$F$301,$AE264),""))</f>
        <v/>
      </c>
      <c r="R264" s="14">
        <f>IF($AE264="","",IFERROR(INDEX(Players!$J$2:$J$301,$AE264),""))</f>
        <v/>
      </c>
      <c r="S264" s="15">
        <f>IF($AE264="","",IFERROR(INDEX(Players!$L$2:$L$301,$AE264),""))</f>
        <v/>
      </c>
      <c r="T264" s="14">
        <f>IF($AE264="","",IFERROR(INDEX(Players!$M$2:$M$301,$AE264),""))</f>
        <v/>
      </c>
      <c r="U264" s="14">
        <f>IF($AE264="","",IFERROR(INDEX(Players!$N$2:$N$301,$AE264),""))</f>
        <v/>
      </c>
      <c r="V264" s="14">
        <f>IF($AE264="","",IFERROR(INDEX(Players!$O$2:$O$301,$AE264),""))</f>
        <v/>
      </c>
      <c r="W264" s="14">
        <f>IF($AE264="","",IFERROR(INDEX(Players!$P$2:$P$301,$AE264),""))</f>
        <v/>
      </c>
      <c r="X264" s="14">
        <f>IF($AE264="","",IFERROR(INDEX(Players!$Q$2:$Q$301,$AE264),""))</f>
        <v/>
      </c>
      <c r="Y264" s="14">
        <f>IF($AE264="","",IFERROR(INDEX(Players!$R$2:$R$301,$AE264),""))</f>
        <v/>
      </c>
      <c r="AE264">
        <f>IFERROR(MATCH(LARGE(Players!$V$2:$V$301,260),Players!$V$2:$V$301,0),"")</f>
        <v/>
      </c>
    </row>
    <row r="265">
      <c r="E265" s="9" t="n">
        <v>261</v>
      </c>
      <c r="F265">
        <f>IF($AE265="","",IFERROR(INDEX(Players!$B$2:$B$301,$AE265),""))</f>
        <v/>
      </c>
      <c r="G265">
        <f>IF($AE265="","",IFERROR(INDEX(Players!$D$2:$D$301,$AE265),""))</f>
        <v/>
      </c>
      <c r="H265">
        <f>IF($AE265="","",IFERROR(INDEX(Players!$C$2:$C$301,$AE265),""))</f>
        <v/>
      </c>
      <c r="I265" s="12">
        <f>IF($AE265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-261+0.5)/3.5))))</f>
        <v/>
      </c>
      <c r="J265" s="12">
        <f>IF($AE265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-261+0.5)/3.5))))</f>
        <v/>
      </c>
      <c r="K265" s="13">
        <f>IF($AE265="","",IFERROR(INDEX(Players!$U$2:$U$301,$AE265),""))</f>
        <v/>
      </c>
      <c r="L265" s="13">
        <f>IF($AE265="","",IFERROR(INDEX(Players!$X$2:$X$301,$AE265),""))</f>
        <v/>
      </c>
      <c r="M265" s="14">
        <f>IF($AE265="","",IFERROR(INDEX(Players!$K$2:$K$301,$AE265),""))</f>
        <v/>
      </c>
      <c r="N265" s="14">
        <f>IF($AE265="","",IFERROR(INDEX(Players!$H$2:$H$301,$AE265),""))</f>
        <v/>
      </c>
      <c r="O265" s="15">
        <f>IF($AE265="","",IFERROR(INDEX(Players!$G$2:$G$301,$AE265),""))</f>
        <v/>
      </c>
      <c r="P265" s="14">
        <f>IF($AE265="","",IFERROR(INDEX(Players!$I$2:$I$301,$AE265),""))</f>
        <v/>
      </c>
      <c r="Q265" s="14">
        <f>IF($AE265="","",IFERROR(INDEX(Players!$F$2:$F$301,$AE265),""))</f>
        <v/>
      </c>
      <c r="R265" s="14">
        <f>IF($AE265="","",IFERROR(INDEX(Players!$J$2:$J$301,$AE265),""))</f>
        <v/>
      </c>
      <c r="S265" s="15">
        <f>IF($AE265="","",IFERROR(INDEX(Players!$L$2:$L$301,$AE265),""))</f>
        <v/>
      </c>
      <c r="T265" s="14">
        <f>IF($AE265="","",IFERROR(INDEX(Players!$M$2:$M$301,$AE265),""))</f>
        <v/>
      </c>
      <c r="U265" s="14">
        <f>IF($AE265="","",IFERROR(INDEX(Players!$N$2:$N$301,$AE265),""))</f>
        <v/>
      </c>
      <c r="V265" s="14">
        <f>IF($AE265="","",IFERROR(INDEX(Players!$O$2:$O$301,$AE265),""))</f>
        <v/>
      </c>
      <c r="W265" s="14">
        <f>IF($AE265="","",IFERROR(INDEX(Players!$P$2:$P$301,$AE265),""))</f>
        <v/>
      </c>
      <c r="X265" s="14">
        <f>IF($AE265="","",IFERROR(INDEX(Players!$Q$2:$Q$301,$AE265),""))</f>
        <v/>
      </c>
      <c r="Y265" s="14">
        <f>IF($AE265="","",IFERROR(INDEX(Players!$R$2:$R$301,$AE265),""))</f>
        <v/>
      </c>
      <c r="AE265">
        <f>IFERROR(MATCH(LARGE(Players!$V$2:$V$301,261),Players!$V$2:$V$301,0),"")</f>
        <v/>
      </c>
    </row>
    <row r="266">
      <c r="E266" s="9" t="n">
        <v>262</v>
      </c>
      <c r="F266">
        <f>IF($AE266="","",IFERROR(INDEX(Players!$B$2:$B$301,$AE266),""))</f>
        <v/>
      </c>
      <c r="G266">
        <f>IF($AE266="","",IFERROR(INDEX(Players!$D$2:$D$301,$AE266),""))</f>
        <v/>
      </c>
      <c r="H266">
        <f>IF($AE266="","",IFERROR(INDEX(Players!$C$2:$C$301,$AE266),""))</f>
        <v/>
      </c>
      <c r="I266" s="12">
        <f>IF($AE266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-262+0.5)/3.5))))</f>
        <v/>
      </c>
      <c r="J266" s="12">
        <f>IF($AE266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-262+0.5)/3.5))))</f>
        <v/>
      </c>
      <c r="K266" s="13">
        <f>IF($AE266="","",IFERROR(INDEX(Players!$U$2:$U$301,$AE266),""))</f>
        <v/>
      </c>
      <c r="L266" s="13">
        <f>IF($AE266="","",IFERROR(INDEX(Players!$X$2:$X$301,$AE266),""))</f>
        <v/>
      </c>
      <c r="M266" s="14">
        <f>IF($AE266="","",IFERROR(INDEX(Players!$K$2:$K$301,$AE266),""))</f>
        <v/>
      </c>
      <c r="N266" s="14">
        <f>IF($AE266="","",IFERROR(INDEX(Players!$H$2:$H$301,$AE266),""))</f>
        <v/>
      </c>
      <c r="O266" s="15">
        <f>IF($AE266="","",IFERROR(INDEX(Players!$G$2:$G$301,$AE266),""))</f>
        <v/>
      </c>
      <c r="P266" s="14">
        <f>IF($AE266="","",IFERROR(INDEX(Players!$I$2:$I$301,$AE266),""))</f>
        <v/>
      </c>
      <c r="Q266" s="14">
        <f>IF($AE266="","",IFERROR(INDEX(Players!$F$2:$F$301,$AE266),""))</f>
        <v/>
      </c>
      <c r="R266" s="14">
        <f>IF($AE266="","",IFERROR(INDEX(Players!$J$2:$J$301,$AE266),""))</f>
        <v/>
      </c>
      <c r="S266" s="15">
        <f>IF($AE266="","",IFERROR(INDEX(Players!$L$2:$L$301,$AE266),""))</f>
        <v/>
      </c>
      <c r="T266" s="14">
        <f>IF($AE266="","",IFERROR(INDEX(Players!$M$2:$M$301,$AE266),""))</f>
        <v/>
      </c>
      <c r="U266" s="14">
        <f>IF($AE266="","",IFERROR(INDEX(Players!$N$2:$N$301,$AE266),""))</f>
        <v/>
      </c>
      <c r="V266" s="14">
        <f>IF($AE266="","",IFERROR(INDEX(Players!$O$2:$O$301,$AE266),""))</f>
        <v/>
      </c>
      <c r="W266" s="14">
        <f>IF($AE266="","",IFERROR(INDEX(Players!$P$2:$P$301,$AE266),""))</f>
        <v/>
      </c>
      <c r="X266" s="14">
        <f>IF($AE266="","",IFERROR(INDEX(Players!$Q$2:$Q$301,$AE266),""))</f>
        <v/>
      </c>
      <c r="Y266" s="14">
        <f>IF($AE266="","",IFERROR(INDEX(Players!$R$2:$R$301,$AE266),""))</f>
        <v/>
      </c>
      <c r="AE266">
        <f>IFERROR(MATCH(LARGE(Players!$V$2:$V$301,262),Players!$V$2:$V$301,0),"")</f>
        <v/>
      </c>
    </row>
    <row r="267">
      <c r="E267" s="9" t="n">
        <v>263</v>
      </c>
      <c r="F267">
        <f>IF($AE267="","",IFERROR(INDEX(Players!$B$2:$B$301,$AE267),""))</f>
        <v/>
      </c>
      <c r="G267">
        <f>IF($AE267="","",IFERROR(INDEX(Players!$D$2:$D$301,$AE267),""))</f>
        <v/>
      </c>
      <c r="H267">
        <f>IF($AE267="","",IFERROR(INDEX(Players!$C$2:$C$301,$AE267),""))</f>
        <v/>
      </c>
      <c r="I267" s="12">
        <f>IF($AE267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-263+0.5)/3.5))))</f>
        <v/>
      </c>
      <c r="J267" s="12">
        <f>IF($AE267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-263+0.5)/3.5))))</f>
        <v/>
      </c>
      <c r="K267" s="13">
        <f>IF($AE267="","",IFERROR(INDEX(Players!$U$2:$U$301,$AE267),""))</f>
        <v/>
      </c>
      <c r="L267" s="13">
        <f>IF($AE267="","",IFERROR(INDEX(Players!$X$2:$X$301,$AE267),""))</f>
        <v/>
      </c>
      <c r="M267" s="14">
        <f>IF($AE267="","",IFERROR(INDEX(Players!$K$2:$K$301,$AE267),""))</f>
        <v/>
      </c>
      <c r="N267" s="14">
        <f>IF($AE267="","",IFERROR(INDEX(Players!$H$2:$H$301,$AE267),""))</f>
        <v/>
      </c>
      <c r="O267" s="15">
        <f>IF($AE267="","",IFERROR(INDEX(Players!$G$2:$G$301,$AE267),""))</f>
        <v/>
      </c>
      <c r="P267" s="14">
        <f>IF($AE267="","",IFERROR(INDEX(Players!$I$2:$I$301,$AE267),""))</f>
        <v/>
      </c>
      <c r="Q267" s="14">
        <f>IF($AE267="","",IFERROR(INDEX(Players!$F$2:$F$301,$AE267),""))</f>
        <v/>
      </c>
      <c r="R267" s="14">
        <f>IF($AE267="","",IFERROR(INDEX(Players!$J$2:$J$301,$AE267),""))</f>
        <v/>
      </c>
      <c r="S267" s="15">
        <f>IF($AE267="","",IFERROR(INDEX(Players!$L$2:$L$301,$AE267),""))</f>
        <v/>
      </c>
      <c r="T267" s="14">
        <f>IF($AE267="","",IFERROR(INDEX(Players!$M$2:$M$301,$AE267),""))</f>
        <v/>
      </c>
      <c r="U267" s="14">
        <f>IF($AE267="","",IFERROR(INDEX(Players!$N$2:$N$301,$AE267),""))</f>
        <v/>
      </c>
      <c r="V267" s="14">
        <f>IF($AE267="","",IFERROR(INDEX(Players!$O$2:$O$301,$AE267),""))</f>
        <v/>
      </c>
      <c r="W267" s="14">
        <f>IF($AE267="","",IFERROR(INDEX(Players!$P$2:$P$301,$AE267),""))</f>
        <v/>
      </c>
      <c r="X267" s="14">
        <f>IF($AE267="","",IFERROR(INDEX(Players!$Q$2:$Q$301,$AE267),""))</f>
        <v/>
      </c>
      <c r="Y267" s="14">
        <f>IF($AE267="","",IFERROR(INDEX(Players!$R$2:$R$301,$AE267),""))</f>
        <v/>
      </c>
      <c r="AE267">
        <f>IFERROR(MATCH(LARGE(Players!$V$2:$V$301,263),Players!$V$2:$V$301,0),"")</f>
        <v/>
      </c>
    </row>
    <row r="268">
      <c r="E268" s="9" t="n">
        <v>264</v>
      </c>
      <c r="F268">
        <f>IF($AE268="","",IFERROR(INDEX(Players!$B$2:$B$301,$AE268),""))</f>
        <v/>
      </c>
      <c r="G268">
        <f>IF($AE268="","",IFERROR(INDEX(Players!$D$2:$D$301,$AE268),""))</f>
        <v/>
      </c>
      <c r="H268">
        <f>IF($AE268="","",IFERROR(INDEX(Players!$C$2:$C$301,$AE268),""))</f>
        <v/>
      </c>
      <c r="I268" s="12">
        <f>IF($AE268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-264+0.5)/3.5))))</f>
        <v/>
      </c>
      <c r="J268" s="12">
        <f>IF($AE268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-264+0.5)/3.5))))</f>
        <v/>
      </c>
      <c r="K268" s="13">
        <f>IF($AE268="","",IFERROR(INDEX(Players!$U$2:$U$301,$AE268),""))</f>
        <v/>
      </c>
      <c r="L268" s="13">
        <f>IF($AE268="","",IFERROR(INDEX(Players!$X$2:$X$301,$AE268),""))</f>
        <v/>
      </c>
      <c r="M268" s="14">
        <f>IF($AE268="","",IFERROR(INDEX(Players!$K$2:$K$301,$AE268),""))</f>
        <v/>
      </c>
      <c r="N268" s="14">
        <f>IF($AE268="","",IFERROR(INDEX(Players!$H$2:$H$301,$AE268),""))</f>
        <v/>
      </c>
      <c r="O268" s="15">
        <f>IF($AE268="","",IFERROR(INDEX(Players!$G$2:$G$301,$AE268),""))</f>
        <v/>
      </c>
      <c r="P268" s="14">
        <f>IF($AE268="","",IFERROR(INDEX(Players!$I$2:$I$301,$AE268),""))</f>
        <v/>
      </c>
      <c r="Q268" s="14">
        <f>IF($AE268="","",IFERROR(INDEX(Players!$F$2:$F$301,$AE268),""))</f>
        <v/>
      </c>
      <c r="R268" s="14">
        <f>IF($AE268="","",IFERROR(INDEX(Players!$J$2:$J$301,$AE268),""))</f>
        <v/>
      </c>
      <c r="S268" s="15">
        <f>IF($AE268="","",IFERROR(INDEX(Players!$L$2:$L$301,$AE268),""))</f>
        <v/>
      </c>
      <c r="T268" s="14">
        <f>IF($AE268="","",IFERROR(INDEX(Players!$M$2:$M$301,$AE268),""))</f>
        <v/>
      </c>
      <c r="U268" s="14">
        <f>IF($AE268="","",IFERROR(INDEX(Players!$N$2:$N$301,$AE268),""))</f>
        <v/>
      </c>
      <c r="V268" s="14">
        <f>IF($AE268="","",IFERROR(INDEX(Players!$O$2:$O$301,$AE268),""))</f>
        <v/>
      </c>
      <c r="W268" s="14">
        <f>IF($AE268="","",IFERROR(INDEX(Players!$P$2:$P$301,$AE268),""))</f>
        <v/>
      </c>
      <c r="X268" s="14">
        <f>IF($AE268="","",IFERROR(INDEX(Players!$Q$2:$Q$301,$AE268),""))</f>
        <v/>
      </c>
      <c r="Y268" s="14">
        <f>IF($AE268="","",IFERROR(INDEX(Players!$R$2:$R$301,$AE268),""))</f>
        <v/>
      </c>
      <c r="AE268">
        <f>IFERROR(MATCH(LARGE(Players!$V$2:$V$301,264),Players!$V$2:$V$301,0),"")</f>
        <v/>
      </c>
    </row>
    <row r="269">
      <c r="E269" s="9" t="n">
        <v>265</v>
      </c>
      <c r="F269">
        <f>IF($AE269="","",IFERROR(INDEX(Players!$B$2:$B$301,$AE269),""))</f>
        <v/>
      </c>
      <c r="G269">
        <f>IF($AE269="","",IFERROR(INDEX(Players!$D$2:$D$301,$AE269),""))</f>
        <v/>
      </c>
      <c r="H269">
        <f>IF($AE269="","",IFERROR(INDEX(Players!$C$2:$C$301,$AE269),""))</f>
        <v/>
      </c>
      <c r="I269" s="12">
        <f>IF($AE269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-265+0.5)/3.5))))</f>
        <v/>
      </c>
      <c r="J269" s="12">
        <f>IF($AE269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-265+0.5)/3.5))))</f>
        <v/>
      </c>
      <c r="K269" s="13">
        <f>IF($AE269="","",IFERROR(INDEX(Players!$U$2:$U$301,$AE269),""))</f>
        <v/>
      </c>
      <c r="L269" s="13">
        <f>IF($AE269="","",IFERROR(INDEX(Players!$X$2:$X$301,$AE269),""))</f>
        <v/>
      </c>
      <c r="M269" s="14">
        <f>IF($AE269="","",IFERROR(INDEX(Players!$K$2:$K$301,$AE269),""))</f>
        <v/>
      </c>
      <c r="N269" s="14">
        <f>IF($AE269="","",IFERROR(INDEX(Players!$H$2:$H$301,$AE269),""))</f>
        <v/>
      </c>
      <c r="O269" s="15">
        <f>IF($AE269="","",IFERROR(INDEX(Players!$G$2:$G$301,$AE269),""))</f>
        <v/>
      </c>
      <c r="P269" s="14">
        <f>IF($AE269="","",IFERROR(INDEX(Players!$I$2:$I$301,$AE269),""))</f>
        <v/>
      </c>
      <c r="Q269" s="14">
        <f>IF($AE269="","",IFERROR(INDEX(Players!$F$2:$F$301,$AE269),""))</f>
        <v/>
      </c>
      <c r="R269" s="14">
        <f>IF($AE269="","",IFERROR(INDEX(Players!$J$2:$J$301,$AE269),""))</f>
        <v/>
      </c>
      <c r="S269" s="15">
        <f>IF($AE269="","",IFERROR(INDEX(Players!$L$2:$L$301,$AE269),""))</f>
        <v/>
      </c>
      <c r="T269" s="14">
        <f>IF($AE269="","",IFERROR(INDEX(Players!$M$2:$M$301,$AE269),""))</f>
        <v/>
      </c>
      <c r="U269" s="14">
        <f>IF($AE269="","",IFERROR(INDEX(Players!$N$2:$N$301,$AE269),""))</f>
        <v/>
      </c>
      <c r="V269" s="14">
        <f>IF($AE269="","",IFERROR(INDEX(Players!$O$2:$O$301,$AE269),""))</f>
        <v/>
      </c>
      <c r="W269" s="14">
        <f>IF($AE269="","",IFERROR(INDEX(Players!$P$2:$P$301,$AE269),""))</f>
        <v/>
      </c>
      <c r="X269" s="14">
        <f>IF($AE269="","",IFERROR(INDEX(Players!$Q$2:$Q$301,$AE269),""))</f>
        <v/>
      </c>
      <c r="Y269" s="14">
        <f>IF($AE269="","",IFERROR(INDEX(Players!$R$2:$R$301,$AE269),""))</f>
        <v/>
      </c>
      <c r="AE269">
        <f>IFERROR(MATCH(LARGE(Players!$V$2:$V$301,265),Players!$V$2:$V$301,0),"")</f>
        <v/>
      </c>
    </row>
    <row r="270">
      <c r="E270" s="9" t="n">
        <v>266</v>
      </c>
      <c r="F270">
        <f>IF($AE270="","",IFERROR(INDEX(Players!$B$2:$B$301,$AE270),""))</f>
        <v/>
      </c>
      <c r="G270">
        <f>IF($AE270="","",IFERROR(INDEX(Players!$D$2:$D$301,$AE270),""))</f>
        <v/>
      </c>
      <c r="H270">
        <f>IF($AE270="","",IFERROR(INDEX(Players!$C$2:$C$301,$AE270),""))</f>
        <v/>
      </c>
      <c r="I270" s="12">
        <f>IF($AE270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-266+0.5)/3.5))))</f>
        <v/>
      </c>
      <c r="J270" s="12">
        <f>IF($AE270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-266+0.5)/3.5))))</f>
        <v/>
      </c>
      <c r="K270" s="13">
        <f>IF($AE270="","",IFERROR(INDEX(Players!$U$2:$U$301,$AE270),""))</f>
        <v/>
      </c>
      <c r="L270" s="13">
        <f>IF($AE270="","",IFERROR(INDEX(Players!$X$2:$X$301,$AE270),""))</f>
        <v/>
      </c>
      <c r="M270" s="14">
        <f>IF($AE270="","",IFERROR(INDEX(Players!$K$2:$K$301,$AE270),""))</f>
        <v/>
      </c>
      <c r="N270" s="14">
        <f>IF($AE270="","",IFERROR(INDEX(Players!$H$2:$H$301,$AE270),""))</f>
        <v/>
      </c>
      <c r="O270" s="15">
        <f>IF($AE270="","",IFERROR(INDEX(Players!$G$2:$G$301,$AE270),""))</f>
        <v/>
      </c>
      <c r="P270" s="14">
        <f>IF($AE270="","",IFERROR(INDEX(Players!$I$2:$I$301,$AE270),""))</f>
        <v/>
      </c>
      <c r="Q270" s="14">
        <f>IF($AE270="","",IFERROR(INDEX(Players!$F$2:$F$301,$AE270),""))</f>
        <v/>
      </c>
      <c r="R270" s="14">
        <f>IF($AE270="","",IFERROR(INDEX(Players!$J$2:$J$301,$AE270),""))</f>
        <v/>
      </c>
      <c r="S270" s="15">
        <f>IF($AE270="","",IFERROR(INDEX(Players!$L$2:$L$301,$AE270),""))</f>
        <v/>
      </c>
      <c r="T270" s="14">
        <f>IF($AE270="","",IFERROR(INDEX(Players!$M$2:$M$301,$AE270),""))</f>
        <v/>
      </c>
      <c r="U270" s="14">
        <f>IF($AE270="","",IFERROR(INDEX(Players!$N$2:$N$301,$AE270),""))</f>
        <v/>
      </c>
      <c r="V270" s="14">
        <f>IF($AE270="","",IFERROR(INDEX(Players!$O$2:$O$301,$AE270),""))</f>
        <v/>
      </c>
      <c r="W270" s="14">
        <f>IF($AE270="","",IFERROR(INDEX(Players!$P$2:$P$301,$AE270),""))</f>
        <v/>
      </c>
      <c r="X270" s="14">
        <f>IF($AE270="","",IFERROR(INDEX(Players!$Q$2:$Q$301,$AE270),""))</f>
        <v/>
      </c>
      <c r="Y270" s="14">
        <f>IF($AE270="","",IFERROR(INDEX(Players!$R$2:$R$301,$AE270),""))</f>
        <v/>
      </c>
      <c r="AE270">
        <f>IFERROR(MATCH(LARGE(Players!$V$2:$V$301,266),Players!$V$2:$V$301,0),"")</f>
        <v/>
      </c>
    </row>
    <row r="271">
      <c r="E271" s="9" t="n">
        <v>267</v>
      </c>
      <c r="F271">
        <f>IF($AE271="","",IFERROR(INDEX(Players!$B$2:$B$301,$AE271),""))</f>
        <v/>
      </c>
      <c r="G271">
        <f>IF($AE271="","",IFERROR(INDEX(Players!$D$2:$D$301,$AE271),""))</f>
        <v/>
      </c>
      <c r="H271">
        <f>IF($AE271="","",IFERROR(INDEX(Players!$C$2:$C$301,$AE271),""))</f>
        <v/>
      </c>
      <c r="I271" s="12">
        <f>IF($AE271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-267+0.5)/3.5))))</f>
        <v/>
      </c>
      <c r="J271" s="12">
        <f>IF($AE271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-267+0.5)/3.5))))</f>
        <v/>
      </c>
      <c r="K271" s="13">
        <f>IF($AE271="","",IFERROR(INDEX(Players!$U$2:$U$301,$AE271),""))</f>
        <v/>
      </c>
      <c r="L271" s="13">
        <f>IF($AE271="","",IFERROR(INDEX(Players!$X$2:$X$301,$AE271),""))</f>
        <v/>
      </c>
      <c r="M271" s="14">
        <f>IF($AE271="","",IFERROR(INDEX(Players!$K$2:$K$301,$AE271),""))</f>
        <v/>
      </c>
      <c r="N271" s="14">
        <f>IF($AE271="","",IFERROR(INDEX(Players!$H$2:$H$301,$AE271),""))</f>
        <v/>
      </c>
      <c r="O271" s="15">
        <f>IF($AE271="","",IFERROR(INDEX(Players!$G$2:$G$301,$AE271),""))</f>
        <v/>
      </c>
      <c r="P271" s="14">
        <f>IF($AE271="","",IFERROR(INDEX(Players!$I$2:$I$301,$AE271),""))</f>
        <v/>
      </c>
      <c r="Q271" s="14">
        <f>IF($AE271="","",IFERROR(INDEX(Players!$F$2:$F$301,$AE271),""))</f>
        <v/>
      </c>
      <c r="R271" s="14">
        <f>IF($AE271="","",IFERROR(INDEX(Players!$J$2:$J$301,$AE271),""))</f>
        <v/>
      </c>
      <c r="S271" s="15">
        <f>IF($AE271="","",IFERROR(INDEX(Players!$L$2:$L$301,$AE271),""))</f>
        <v/>
      </c>
      <c r="T271" s="14">
        <f>IF($AE271="","",IFERROR(INDEX(Players!$M$2:$M$301,$AE271),""))</f>
        <v/>
      </c>
      <c r="U271" s="14">
        <f>IF($AE271="","",IFERROR(INDEX(Players!$N$2:$N$301,$AE271),""))</f>
        <v/>
      </c>
      <c r="V271" s="14">
        <f>IF($AE271="","",IFERROR(INDEX(Players!$O$2:$O$301,$AE271),""))</f>
        <v/>
      </c>
      <c r="W271" s="14">
        <f>IF($AE271="","",IFERROR(INDEX(Players!$P$2:$P$301,$AE271),""))</f>
        <v/>
      </c>
      <c r="X271" s="14">
        <f>IF($AE271="","",IFERROR(INDEX(Players!$Q$2:$Q$301,$AE271),""))</f>
        <v/>
      </c>
      <c r="Y271" s="14">
        <f>IF($AE271="","",IFERROR(INDEX(Players!$R$2:$R$301,$AE271),""))</f>
        <v/>
      </c>
      <c r="AE271">
        <f>IFERROR(MATCH(LARGE(Players!$V$2:$V$301,267),Players!$V$2:$V$301,0),"")</f>
        <v/>
      </c>
    </row>
    <row r="272">
      <c r="E272" s="9" t="n">
        <v>268</v>
      </c>
      <c r="F272">
        <f>IF($AE272="","",IFERROR(INDEX(Players!$B$2:$B$301,$AE272),""))</f>
        <v/>
      </c>
      <c r="G272">
        <f>IF($AE272="","",IFERROR(INDEX(Players!$D$2:$D$301,$AE272),""))</f>
        <v/>
      </c>
      <c r="H272">
        <f>IF($AE272="","",IFERROR(INDEX(Players!$C$2:$C$301,$AE272),""))</f>
        <v/>
      </c>
      <c r="I272" s="12">
        <f>IF($AE272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-268+0.5)/3.5))))</f>
        <v/>
      </c>
      <c r="J272" s="12">
        <f>IF($AE272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-268+0.5)/3.5))))</f>
        <v/>
      </c>
      <c r="K272" s="13">
        <f>IF($AE272="","",IFERROR(INDEX(Players!$U$2:$U$301,$AE272),""))</f>
        <v/>
      </c>
      <c r="L272" s="13">
        <f>IF($AE272="","",IFERROR(INDEX(Players!$X$2:$X$301,$AE272),""))</f>
        <v/>
      </c>
      <c r="M272" s="14">
        <f>IF($AE272="","",IFERROR(INDEX(Players!$K$2:$K$301,$AE272),""))</f>
        <v/>
      </c>
      <c r="N272" s="14">
        <f>IF($AE272="","",IFERROR(INDEX(Players!$H$2:$H$301,$AE272),""))</f>
        <v/>
      </c>
      <c r="O272" s="15">
        <f>IF($AE272="","",IFERROR(INDEX(Players!$G$2:$G$301,$AE272),""))</f>
        <v/>
      </c>
      <c r="P272" s="14">
        <f>IF($AE272="","",IFERROR(INDEX(Players!$I$2:$I$301,$AE272),""))</f>
        <v/>
      </c>
      <c r="Q272" s="14">
        <f>IF($AE272="","",IFERROR(INDEX(Players!$F$2:$F$301,$AE272),""))</f>
        <v/>
      </c>
      <c r="R272" s="14">
        <f>IF($AE272="","",IFERROR(INDEX(Players!$J$2:$J$301,$AE272),""))</f>
        <v/>
      </c>
      <c r="S272" s="15">
        <f>IF($AE272="","",IFERROR(INDEX(Players!$L$2:$L$301,$AE272),""))</f>
        <v/>
      </c>
      <c r="T272" s="14">
        <f>IF($AE272="","",IFERROR(INDEX(Players!$M$2:$M$301,$AE272),""))</f>
        <v/>
      </c>
      <c r="U272" s="14">
        <f>IF($AE272="","",IFERROR(INDEX(Players!$N$2:$N$301,$AE272),""))</f>
        <v/>
      </c>
      <c r="V272" s="14">
        <f>IF($AE272="","",IFERROR(INDEX(Players!$O$2:$O$301,$AE272),""))</f>
        <v/>
      </c>
      <c r="W272" s="14">
        <f>IF($AE272="","",IFERROR(INDEX(Players!$P$2:$P$301,$AE272),""))</f>
        <v/>
      </c>
      <c r="X272" s="14">
        <f>IF($AE272="","",IFERROR(INDEX(Players!$Q$2:$Q$301,$AE272),""))</f>
        <v/>
      </c>
      <c r="Y272" s="14">
        <f>IF($AE272="","",IFERROR(INDEX(Players!$R$2:$R$301,$AE272),""))</f>
        <v/>
      </c>
      <c r="AE272">
        <f>IFERROR(MATCH(LARGE(Players!$V$2:$V$301,268),Players!$V$2:$V$301,0),"")</f>
        <v/>
      </c>
    </row>
    <row r="273">
      <c r="E273" s="9" t="n">
        <v>269</v>
      </c>
      <c r="F273">
        <f>IF($AE273="","",IFERROR(INDEX(Players!$B$2:$B$301,$AE273),""))</f>
        <v/>
      </c>
      <c r="G273">
        <f>IF($AE273="","",IFERROR(INDEX(Players!$D$2:$D$301,$AE273),""))</f>
        <v/>
      </c>
      <c r="H273">
        <f>IF($AE273="","",IFERROR(INDEX(Players!$C$2:$C$301,$AE273),""))</f>
        <v/>
      </c>
      <c r="I273" s="12">
        <f>IF($AE273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-269+0.5)/3.5))))</f>
        <v/>
      </c>
      <c r="J273" s="12">
        <f>IF($AE273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-269+0.5)/3.5))))</f>
        <v/>
      </c>
      <c r="K273" s="13">
        <f>IF($AE273="","",IFERROR(INDEX(Players!$U$2:$U$301,$AE273),""))</f>
        <v/>
      </c>
      <c r="L273" s="13">
        <f>IF($AE273="","",IFERROR(INDEX(Players!$X$2:$X$301,$AE273),""))</f>
        <v/>
      </c>
      <c r="M273" s="14">
        <f>IF($AE273="","",IFERROR(INDEX(Players!$K$2:$K$301,$AE273),""))</f>
        <v/>
      </c>
      <c r="N273" s="14">
        <f>IF($AE273="","",IFERROR(INDEX(Players!$H$2:$H$301,$AE273),""))</f>
        <v/>
      </c>
      <c r="O273" s="15">
        <f>IF($AE273="","",IFERROR(INDEX(Players!$G$2:$G$301,$AE273),""))</f>
        <v/>
      </c>
      <c r="P273" s="14">
        <f>IF($AE273="","",IFERROR(INDEX(Players!$I$2:$I$301,$AE273),""))</f>
        <v/>
      </c>
      <c r="Q273" s="14">
        <f>IF($AE273="","",IFERROR(INDEX(Players!$F$2:$F$301,$AE273),""))</f>
        <v/>
      </c>
      <c r="R273" s="14">
        <f>IF($AE273="","",IFERROR(INDEX(Players!$J$2:$J$301,$AE273),""))</f>
        <v/>
      </c>
      <c r="S273" s="15">
        <f>IF($AE273="","",IFERROR(INDEX(Players!$L$2:$L$301,$AE273),""))</f>
        <v/>
      </c>
      <c r="T273" s="14">
        <f>IF($AE273="","",IFERROR(INDEX(Players!$M$2:$M$301,$AE273),""))</f>
        <v/>
      </c>
      <c r="U273" s="14">
        <f>IF($AE273="","",IFERROR(INDEX(Players!$N$2:$N$301,$AE273),""))</f>
        <v/>
      </c>
      <c r="V273" s="14">
        <f>IF($AE273="","",IFERROR(INDEX(Players!$O$2:$O$301,$AE273),""))</f>
        <v/>
      </c>
      <c r="W273" s="14">
        <f>IF($AE273="","",IFERROR(INDEX(Players!$P$2:$P$301,$AE273),""))</f>
        <v/>
      </c>
      <c r="X273" s="14">
        <f>IF($AE273="","",IFERROR(INDEX(Players!$Q$2:$Q$301,$AE273),""))</f>
        <v/>
      </c>
      <c r="Y273" s="14">
        <f>IF($AE273="","",IFERROR(INDEX(Players!$R$2:$R$301,$AE273),""))</f>
        <v/>
      </c>
      <c r="AE273">
        <f>IFERROR(MATCH(LARGE(Players!$V$2:$V$301,269),Players!$V$2:$V$301,0),"")</f>
        <v/>
      </c>
    </row>
    <row r="274">
      <c r="E274" s="9" t="n">
        <v>270</v>
      </c>
      <c r="F274">
        <f>IF($AE274="","",IFERROR(INDEX(Players!$B$2:$B$301,$AE274),""))</f>
        <v/>
      </c>
      <c r="G274">
        <f>IF($AE274="","",IFERROR(INDEX(Players!$D$2:$D$301,$AE274),""))</f>
        <v/>
      </c>
      <c r="H274">
        <f>IF($AE274="","",IFERROR(INDEX(Players!$C$2:$C$301,$AE274),""))</f>
        <v/>
      </c>
      <c r="I274" s="12">
        <f>IF($AE274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-270+0.5)/3.5))))</f>
        <v/>
      </c>
      <c r="J274" s="12">
        <f>IF($AE274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-270+0.5)/3.5))))</f>
        <v/>
      </c>
      <c r="K274" s="13">
        <f>IF($AE274="","",IFERROR(INDEX(Players!$U$2:$U$301,$AE274),""))</f>
        <v/>
      </c>
      <c r="L274" s="13">
        <f>IF($AE274="","",IFERROR(INDEX(Players!$X$2:$X$301,$AE274),""))</f>
        <v/>
      </c>
      <c r="M274" s="14">
        <f>IF($AE274="","",IFERROR(INDEX(Players!$K$2:$K$301,$AE274),""))</f>
        <v/>
      </c>
      <c r="N274" s="14">
        <f>IF($AE274="","",IFERROR(INDEX(Players!$H$2:$H$301,$AE274),""))</f>
        <v/>
      </c>
      <c r="O274" s="15">
        <f>IF($AE274="","",IFERROR(INDEX(Players!$G$2:$G$301,$AE274),""))</f>
        <v/>
      </c>
      <c r="P274" s="14">
        <f>IF($AE274="","",IFERROR(INDEX(Players!$I$2:$I$301,$AE274),""))</f>
        <v/>
      </c>
      <c r="Q274" s="14">
        <f>IF($AE274="","",IFERROR(INDEX(Players!$F$2:$F$301,$AE274),""))</f>
        <v/>
      </c>
      <c r="R274" s="14">
        <f>IF($AE274="","",IFERROR(INDEX(Players!$J$2:$J$301,$AE274),""))</f>
        <v/>
      </c>
      <c r="S274" s="15">
        <f>IF($AE274="","",IFERROR(INDEX(Players!$L$2:$L$301,$AE274),""))</f>
        <v/>
      </c>
      <c r="T274" s="14">
        <f>IF($AE274="","",IFERROR(INDEX(Players!$M$2:$M$301,$AE274),""))</f>
        <v/>
      </c>
      <c r="U274" s="14">
        <f>IF($AE274="","",IFERROR(INDEX(Players!$N$2:$N$301,$AE274),""))</f>
        <v/>
      </c>
      <c r="V274" s="14">
        <f>IF($AE274="","",IFERROR(INDEX(Players!$O$2:$O$301,$AE274),""))</f>
        <v/>
      </c>
      <c r="W274" s="14">
        <f>IF($AE274="","",IFERROR(INDEX(Players!$P$2:$P$301,$AE274),""))</f>
        <v/>
      </c>
      <c r="X274" s="14">
        <f>IF($AE274="","",IFERROR(INDEX(Players!$Q$2:$Q$301,$AE274),""))</f>
        <v/>
      </c>
      <c r="Y274" s="14">
        <f>IF($AE274="","",IFERROR(INDEX(Players!$R$2:$R$301,$AE274),""))</f>
        <v/>
      </c>
      <c r="AE274">
        <f>IFERROR(MATCH(LARGE(Players!$V$2:$V$301,270),Players!$V$2:$V$301,0),"")</f>
        <v/>
      </c>
    </row>
    <row r="275">
      <c r="E275" s="9" t="n">
        <v>271</v>
      </c>
      <c r="F275">
        <f>IF($AE275="","",IFERROR(INDEX(Players!$B$2:$B$301,$AE275),""))</f>
        <v/>
      </c>
      <c r="G275">
        <f>IF($AE275="","",IFERROR(INDEX(Players!$D$2:$D$301,$AE275),""))</f>
        <v/>
      </c>
      <c r="H275">
        <f>IF($AE275="","",IFERROR(INDEX(Players!$C$2:$C$301,$AE275),""))</f>
        <v/>
      </c>
      <c r="I275" s="12">
        <f>IF($AE275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-271+0.5)/3.5))))</f>
        <v/>
      </c>
      <c r="J275" s="12">
        <f>IF($AE275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-271+0.5)/3.5))))</f>
        <v/>
      </c>
      <c r="K275" s="13">
        <f>IF($AE275="","",IFERROR(INDEX(Players!$U$2:$U$301,$AE275),""))</f>
        <v/>
      </c>
      <c r="L275" s="13">
        <f>IF($AE275="","",IFERROR(INDEX(Players!$X$2:$X$301,$AE275),""))</f>
        <v/>
      </c>
      <c r="M275" s="14">
        <f>IF($AE275="","",IFERROR(INDEX(Players!$K$2:$K$301,$AE275),""))</f>
        <v/>
      </c>
      <c r="N275" s="14">
        <f>IF($AE275="","",IFERROR(INDEX(Players!$H$2:$H$301,$AE275),""))</f>
        <v/>
      </c>
      <c r="O275" s="15">
        <f>IF($AE275="","",IFERROR(INDEX(Players!$G$2:$G$301,$AE275),""))</f>
        <v/>
      </c>
      <c r="P275" s="14">
        <f>IF($AE275="","",IFERROR(INDEX(Players!$I$2:$I$301,$AE275),""))</f>
        <v/>
      </c>
      <c r="Q275" s="14">
        <f>IF($AE275="","",IFERROR(INDEX(Players!$F$2:$F$301,$AE275),""))</f>
        <v/>
      </c>
      <c r="R275" s="14">
        <f>IF($AE275="","",IFERROR(INDEX(Players!$J$2:$J$301,$AE275),""))</f>
        <v/>
      </c>
      <c r="S275" s="15">
        <f>IF($AE275="","",IFERROR(INDEX(Players!$L$2:$L$301,$AE275),""))</f>
        <v/>
      </c>
      <c r="T275" s="14">
        <f>IF($AE275="","",IFERROR(INDEX(Players!$M$2:$M$301,$AE275),""))</f>
        <v/>
      </c>
      <c r="U275" s="14">
        <f>IF($AE275="","",IFERROR(INDEX(Players!$N$2:$N$301,$AE275),""))</f>
        <v/>
      </c>
      <c r="V275" s="14">
        <f>IF($AE275="","",IFERROR(INDEX(Players!$O$2:$O$301,$AE275),""))</f>
        <v/>
      </c>
      <c r="W275" s="14">
        <f>IF($AE275="","",IFERROR(INDEX(Players!$P$2:$P$301,$AE275),""))</f>
        <v/>
      </c>
      <c r="X275" s="14">
        <f>IF($AE275="","",IFERROR(INDEX(Players!$Q$2:$Q$301,$AE275),""))</f>
        <v/>
      </c>
      <c r="Y275" s="14">
        <f>IF($AE275="","",IFERROR(INDEX(Players!$R$2:$R$301,$AE275),""))</f>
        <v/>
      </c>
      <c r="AE275">
        <f>IFERROR(MATCH(LARGE(Players!$V$2:$V$301,271),Players!$V$2:$V$301,0),"")</f>
        <v/>
      </c>
    </row>
    <row r="276">
      <c r="E276" s="9" t="n">
        <v>272</v>
      </c>
      <c r="F276">
        <f>IF($AE276="","",IFERROR(INDEX(Players!$B$2:$B$301,$AE276),""))</f>
        <v/>
      </c>
      <c r="G276">
        <f>IF($AE276="","",IFERROR(INDEX(Players!$D$2:$D$301,$AE276),""))</f>
        <v/>
      </c>
      <c r="H276">
        <f>IF($AE276="","",IFERROR(INDEX(Players!$C$2:$C$301,$AE276),""))</f>
        <v/>
      </c>
      <c r="I276" s="12">
        <f>IF($AE276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-272+0.5)/3.5))))</f>
        <v/>
      </c>
      <c r="J276" s="12">
        <f>IF($AE276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-272+0.5)/3.5))))</f>
        <v/>
      </c>
      <c r="K276" s="13">
        <f>IF($AE276="","",IFERROR(INDEX(Players!$U$2:$U$301,$AE276),""))</f>
        <v/>
      </c>
      <c r="L276" s="13">
        <f>IF($AE276="","",IFERROR(INDEX(Players!$X$2:$X$301,$AE276),""))</f>
        <v/>
      </c>
      <c r="M276" s="14">
        <f>IF($AE276="","",IFERROR(INDEX(Players!$K$2:$K$301,$AE276),""))</f>
        <v/>
      </c>
      <c r="N276" s="14">
        <f>IF($AE276="","",IFERROR(INDEX(Players!$H$2:$H$301,$AE276),""))</f>
        <v/>
      </c>
      <c r="O276" s="15">
        <f>IF($AE276="","",IFERROR(INDEX(Players!$G$2:$G$301,$AE276),""))</f>
        <v/>
      </c>
      <c r="P276" s="14">
        <f>IF($AE276="","",IFERROR(INDEX(Players!$I$2:$I$301,$AE276),""))</f>
        <v/>
      </c>
      <c r="Q276" s="14">
        <f>IF($AE276="","",IFERROR(INDEX(Players!$F$2:$F$301,$AE276),""))</f>
        <v/>
      </c>
      <c r="R276" s="14">
        <f>IF($AE276="","",IFERROR(INDEX(Players!$J$2:$J$301,$AE276),""))</f>
        <v/>
      </c>
      <c r="S276" s="15">
        <f>IF($AE276="","",IFERROR(INDEX(Players!$L$2:$L$301,$AE276),""))</f>
        <v/>
      </c>
      <c r="T276" s="14">
        <f>IF($AE276="","",IFERROR(INDEX(Players!$M$2:$M$301,$AE276),""))</f>
        <v/>
      </c>
      <c r="U276" s="14">
        <f>IF($AE276="","",IFERROR(INDEX(Players!$N$2:$N$301,$AE276),""))</f>
        <v/>
      </c>
      <c r="V276" s="14">
        <f>IF($AE276="","",IFERROR(INDEX(Players!$O$2:$O$301,$AE276),""))</f>
        <v/>
      </c>
      <c r="W276" s="14">
        <f>IF($AE276="","",IFERROR(INDEX(Players!$P$2:$P$301,$AE276),""))</f>
        <v/>
      </c>
      <c r="X276" s="14">
        <f>IF($AE276="","",IFERROR(INDEX(Players!$Q$2:$Q$301,$AE276),""))</f>
        <v/>
      </c>
      <c r="Y276" s="14">
        <f>IF($AE276="","",IFERROR(INDEX(Players!$R$2:$R$301,$AE276),""))</f>
        <v/>
      </c>
      <c r="AE276">
        <f>IFERROR(MATCH(LARGE(Players!$V$2:$V$301,272),Players!$V$2:$V$301,0),"")</f>
        <v/>
      </c>
    </row>
    <row r="277">
      <c r="E277" s="9" t="n">
        <v>273</v>
      </c>
      <c r="F277">
        <f>IF($AE277="","",IFERROR(INDEX(Players!$B$2:$B$301,$AE277),""))</f>
        <v/>
      </c>
      <c r="G277">
        <f>IF($AE277="","",IFERROR(INDEX(Players!$D$2:$D$301,$AE277),""))</f>
        <v/>
      </c>
      <c r="H277">
        <f>IF($AE277="","",IFERROR(INDEX(Players!$C$2:$C$301,$AE277),""))</f>
        <v/>
      </c>
      <c r="I277" s="12">
        <f>IF($AE277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-273+0.5)/3.5))))</f>
        <v/>
      </c>
      <c r="J277" s="12">
        <f>IF($AE277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-273+0.5)/3.5))))</f>
        <v/>
      </c>
      <c r="K277" s="13">
        <f>IF($AE277="","",IFERROR(INDEX(Players!$U$2:$U$301,$AE277),""))</f>
        <v/>
      </c>
      <c r="L277" s="13">
        <f>IF($AE277="","",IFERROR(INDEX(Players!$X$2:$X$301,$AE277),""))</f>
        <v/>
      </c>
      <c r="M277" s="14">
        <f>IF($AE277="","",IFERROR(INDEX(Players!$K$2:$K$301,$AE277),""))</f>
        <v/>
      </c>
      <c r="N277" s="14">
        <f>IF($AE277="","",IFERROR(INDEX(Players!$H$2:$H$301,$AE277),""))</f>
        <v/>
      </c>
      <c r="O277" s="15">
        <f>IF($AE277="","",IFERROR(INDEX(Players!$G$2:$G$301,$AE277),""))</f>
        <v/>
      </c>
      <c r="P277" s="14">
        <f>IF($AE277="","",IFERROR(INDEX(Players!$I$2:$I$301,$AE277),""))</f>
        <v/>
      </c>
      <c r="Q277" s="14">
        <f>IF($AE277="","",IFERROR(INDEX(Players!$F$2:$F$301,$AE277),""))</f>
        <v/>
      </c>
      <c r="R277" s="14">
        <f>IF($AE277="","",IFERROR(INDEX(Players!$J$2:$J$301,$AE277),""))</f>
        <v/>
      </c>
      <c r="S277" s="15">
        <f>IF($AE277="","",IFERROR(INDEX(Players!$L$2:$L$301,$AE277),""))</f>
        <v/>
      </c>
      <c r="T277" s="14">
        <f>IF($AE277="","",IFERROR(INDEX(Players!$M$2:$M$301,$AE277),""))</f>
        <v/>
      </c>
      <c r="U277" s="14">
        <f>IF($AE277="","",IFERROR(INDEX(Players!$N$2:$N$301,$AE277),""))</f>
        <v/>
      </c>
      <c r="V277" s="14">
        <f>IF($AE277="","",IFERROR(INDEX(Players!$O$2:$O$301,$AE277),""))</f>
        <v/>
      </c>
      <c r="W277" s="14">
        <f>IF($AE277="","",IFERROR(INDEX(Players!$P$2:$P$301,$AE277),""))</f>
        <v/>
      </c>
      <c r="X277" s="14">
        <f>IF($AE277="","",IFERROR(INDEX(Players!$Q$2:$Q$301,$AE277),""))</f>
        <v/>
      </c>
      <c r="Y277" s="14">
        <f>IF($AE277="","",IFERROR(INDEX(Players!$R$2:$R$301,$AE277),""))</f>
        <v/>
      </c>
      <c r="AE277">
        <f>IFERROR(MATCH(LARGE(Players!$V$2:$V$301,273),Players!$V$2:$V$301,0),"")</f>
        <v/>
      </c>
    </row>
    <row r="278">
      <c r="E278" s="9" t="n">
        <v>274</v>
      </c>
      <c r="F278">
        <f>IF($AE278="","",IFERROR(INDEX(Players!$B$2:$B$301,$AE278),""))</f>
        <v/>
      </c>
      <c r="G278">
        <f>IF($AE278="","",IFERROR(INDEX(Players!$D$2:$D$301,$AE278),""))</f>
        <v/>
      </c>
      <c r="H278">
        <f>IF($AE278="","",IFERROR(INDEX(Players!$C$2:$C$301,$AE278),""))</f>
        <v/>
      </c>
      <c r="I278" s="12">
        <f>IF($AE278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-274+0.5)/3.5))))</f>
        <v/>
      </c>
      <c r="J278" s="12">
        <f>IF($AE278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-274+0.5)/3.5))))</f>
        <v/>
      </c>
      <c r="K278" s="13">
        <f>IF($AE278="","",IFERROR(INDEX(Players!$U$2:$U$301,$AE278),""))</f>
        <v/>
      </c>
      <c r="L278" s="13">
        <f>IF($AE278="","",IFERROR(INDEX(Players!$X$2:$X$301,$AE278),""))</f>
        <v/>
      </c>
      <c r="M278" s="14">
        <f>IF($AE278="","",IFERROR(INDEX(Players!$K$2:$K$301,$AE278),""))</f>
        <v/>
      </c>
      <c r="N278" s="14">
        <f>IF($AE278="","",IFERROR(INDEX(Players!$H$2:$H$301,$AE278),""))</f>
        <v/>
      </c>
      <c r="O278" s="15">
        <f>IF($AE278="","",IFERROR(INDEX(Players!$G$2:$G$301,$AE278),""))</f>
        <v/>
      </c>
      <c r="P278" s="14">
        <f>IF($AE278="","",IFERROR(INDEX(Players!$I$2:$I$301,$AE278),""))</f>
        <v/>
      </c>
      <c r="Q278" s="14">
        <f>IF($AE278="","",IFERROR(INDEX(Players!$F$2:$F$301,$AE278),""))</f>
        <v/>
      </c>
      <c r="R278" s="14">
        <f>IF($AE278="","",IFERROR(INDEX(Players!$J$2:$J$301,$AE278),""))</f>
        <v/>
      </c>
      <c r="S278" s="15">
        <f>IF($AE278="","",IFERROR(INDEX(Players!$L$2:$L$301,$AE278),""))</f>
        <v/>
      </c>
      <c r="T278" s="14">
        <f>IF($AE278="","",IFERROR(INDEX(Players!$M$2:$M$301,$AE278),""))</f>
        <v/>
      </c>
      <c r="U278" s="14">
        <f>IF($AE278="","",IFERROR(INDEX(Players!$N$2:$N$301,$AE278),""))</f>
        <v/>
      </c>
      <c r="V278" s="14">
        <f>IF($AE278="","",IFERROR(INDEX(Players!$O$2:$O$301,$AE278),""))</f>
        <v/>
      </c>
      <c r="W278" s="14">
        <f>IF($AE278="","",IFERROR(INDEX(Players!$P$2:$P$301,$AE278),""))</f>
        <v/>
      </c>
      <c r="X278" s="14">
        <f>IF($AE278="","",IFERROR(INDEX(Players!$Q$2:$Q$301,$AE278),""))</f>
        <v/>
      </c>
      <c r="Y278" s="14">
        <f>IF($AE278="","",IFERROR(INDEX(Players!$R$2:$R$301,$AE278),""))</f>
        <v/>
      </c>
      <c r="AE278">
        <f>IFERROR(MATCH(LARGE(Players!$V$2:$V$301,274),Players!$V$2:$V$301,0),"")</f>
        <v/>
      </c>
    </row>
    <row r="279">
      <c r="E279" s="9" t="n">
        <v>275</v>
      </c>
      <c r="F279">
        <f>IF($AE279="","",IFERROR(INDEX(Players!$B$2:$B$301,$AE279),""))</f>
        <v/>
      </c>
      <c r="G279">
        <f>IF($AE279="","",IFERROR(INDEX(Players!$D$2:$D$301,$AE279),""))</f>
        <v/>
      </c>
      <c r="H279">
        <f>IF($AE279="","",IFERROR(INDEX(Players!$C$2:$C$301,$AE279),""))</f>
        <v/>
      </c>
      <c r="I279" s="12">
        <f>IF($AE279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-275+0.5)/3.5))))</f>
        <v/>
      </c>
      <c r="J279" s="12">
        <f>IF($AE279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-275+0.5)/3.5))))</f>
        <v/>
      </c>
      <c r="K279" s="13">
        <f>IF($AE279="","",IFERROR(INDEX(Players!$U$2:$U$301,$AE279),""))</f>
        <v/>
      </c>
      <c r="L279" s="13">
        <f>IF($AE279="","",IFERROR(INDEX(Players!$X$2:$X$301,$AE279),""))</f>
        <v/>
      </c>
      <c r="M279" s="14">
        <f>IF($AE279="","",IFERROR(INDEX(Players!$K$2:$K$301,$AE279),""))</f>
        <v/>
      </c>
      <c r="N279" s="14">
        <f>IF($AE279="","",IFERROR(INDEX(Players!$H$2:$H$301,$AE279),""))</f>
        <v/>
      </c>
      <c r="O279" s="15">
        <f>IF($AE279="","",IFERROR(INDEX(Players!$G$2:$G$301,$AE279),""))</f>
        <v/>
      </c>
      <c r="P279" s="14">
        <f>IF($AE279="","",IFERROR(INDEX(Players!$I$2:$I$301,$AE279),""))</f>
        <v/>
      </c>
      <c r="Q279" s="14">
        <f>IF($AE279="","",IFERROR(INDEX(Players!$F$2:$F$301,$AE279),""))</f>
        <v/>
      </c>
      <c r="R279" s="14">
        <f>IF($AE279="","",IFERROR(INDEX(Players!$J$2:$J$301,$AE279),""))</f>
        <v/>
      </c>
      <c r="S279" s="15">
        <f>IF($AE279="","",IFERROR(INDEX(Players!$L$2:$L$301,$AE279),""))</f>
        <v/>
      </c>
      <c r="T279" s="14">
        <f>IF($AE279="","",IFERROR(INDEX(Players!$M$2:$M$301,$AE279),""))</f>
        <v/>
      </c>
      <c r="U279" s="14">
        <f>IF($AE279="","",IFERROR(INDEX(Players!$N$2:$N$301,$AE279),""))</f>
        <v/>
      </c>
      <c r="V279" s="14">
        <f>IF($AE279="","",IFERROR(INDEX(Players!$O$2:$O$301,$AE279),""))</f>
        <v/>
      </c>
      <c r="W279" s="14">
        <f>IF($AE279="","",IFERROR(INDEX(Players!$P$2:$P$301,$AE279),""))</f>
        <v/>
      </c>
      <c r="X279" s="14">
        <f>IF($AE279="","",IFERROR(INDEX(Players!$Q$2:$Q$301,$AE279),""))</f>
        <v/>
      </c>
      <c r="Y279" s="14">
        <f>IF($AE279="","",IFERROR(INDEX(Players!$R$2:$R$301,$AE279),""))</f>
        <v/>
      </c>
      <c r="AE279">
        <f>IFERROR(MATCH(LARGE(Players!$V$2:$V$301,275),Players!$V$2:$V$301,0),"")</f>
        <v/>
      </c>
    </row>
    <row r="280">
      <c r="E280" s="9" t="n">
        <v>276</v>
      </c>
      <c r="F280">
        <f>IF($AE280="","",IFERROR(INDEX(Players!$B$2:$B$301,$AE280),""))</f>
        <v/>
      </c>
      <c r="G280">
        <f>IF($AE280="","",IFERROR(INDEX(Players!$D$2:$D$301,$AE280),""))</f>
        <v/>
      </c>
      <c r="H280">
        <f>IF($AE280="","",IFERROR(INDEX(Players!$C$2:$C$301,$AE280),""))</f>
        <v/>
      </c>
      <c r="I280" s="12">
        <f>IF($AE280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-276+0.5)/3.5))))</f>
        <v/>
      </c>
      <c r="J280" s="12">
        <f>IF($AE280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-276+0.5)/3.5))))</f>
        <v/>
      </c>
      <c r="K280" s="13">
        <f>IF($AE280="","",IFERROR(INDEX(Players!$U$2:$U$301,$AE280),""))</f>
        <v/>
      </c>
      <c r="L280" s="13">
        <f>IF($AE280="","",IFERROR(INDEX(Players!$X$2:$X$301,$AE280),""))</f>
        <v/>
      </c>
      <c r="M280" s="14">
        <f>IF($AE280="","",IFERROR(INDEX(Players!$K$2:$K$301,$AE280),""))</f>
        <v/>
      </c>
      <c r="N280" s="14">
        <f>IF($AE280="","",IFERROR(INDEX(Players!$H$2:$H$301,$AE280),""))</f>
        <v/>
      </c>
      <c r="O280" s="15">
        <f>IF($AE280="","",IFERROR(INDEX(Players!$G$2:$G$301,$AE280),""))</f>
        <v/>
      </c>
      <c r="P280" s="14">
        <f>IF($AE280="","",IFERROR(INDEX(Players!$I$2:$I$301,$AE280),""))</f>
        <v/>
      </c>
      <c r="Q280" s="14">
        <f>IF($AE280="","",IFERROR(INDEX(Players!$F$2:$F$301,$AE280),""))</f>
        <v/>
      </c>
      <c r="R280" s="14">
        <f>IF($AE280="","",IFERROR(INDEX(Players!$J$2:$J$301,$AE280),""))</f>
        <v/>
      </c>
      <c r="S280" s="15">
        <f>IF($AE280="","",IFERROR(INDEX(Players!$L$2:$L$301,$AE280),""))</f>
        <v/>
      </c>
      <c r="T280" s="14">
        <f>IF($AE280="","",IFERROR(INDEX(Players!$M$2:$M$301,$AE280),""))</f>
        <v/>
      </c>
      <c r="U280" s="14">
        <f>IF($AE280="","",IFERROR(INDEX(Players!$N$2:$N$301,$AE280),""))</f>
        <v/>
      </c>
      <c r="V280" s="14">
        <f>IF($AE280="","",IFERROR(INDEX(Players!$O$2:$O$301,$AE280),""))</f>
        <v/>
      </c>
      <c r="W280" s="14">
        <f>IF($AE280="","",IFERROR(INDEX(Players!$P$2:$P$301,$AE280),""))</f>
        <v/>
      </c>
      <c r="X280" s="14">
        <f>IF($AE280="","",IFERROR(INDEX(Players!$Q$2:$Q$301,$AE280),""))</f>
        <v/>
      </c>
      <c r="Y280" s="14">
        <f>IF($AE280="","",IFERROR(INDEX(Players!$R$2:$R$301,$AE280),""))</f>
        <v/>
      </c>
      <c r="AE280">
        <f>IFERROR(MATCH(LARGE(Players!$V$2:$V$301,276),Players!$V$2:$V$301,0),"")</f>
        <v/>
      </c>
    </row>
    <row r="281">
      <c r="E281" s="9" t="n">
        <v>277</v>
      </c>
      <c r="F281">
        <f>IF($AE281="","",IFERROR(INDEX(Players!$B$2:$B$301,$AE281),""))</f>
        <v/>
      </c>
      <c r="G281">
        <f>IF($AE281="","",IFERROR(INDEX(Players!$D$2:$D$301,$AE281),""))</f>
        <v/>
      </c>
      <c r="H281">
        <f>IF($AE281="","",IFERROR(INDEX(Players!$C$2:$C$301,$AE281),""))</f>
        <v/>
      </c>
      <c r="I281" s="12">
        <f>IF($AE281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-277+0.5)/3.5))))</f>
        <v/>
      </c>
      <c r="J281" s="12">
        <f>IF($AE281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-277+0.5)/3.5))))</f>
        <v/>
      </c>
      <c r="K281" s="13">
        <f>IF($AE281="","",IFERROR(INDEX(Players!$U$2:$U$301,$AE281),""))</f>
        <v/>
      </c>
      <c r="L281" s="13">
        <f>IF($AE281="","",IFERROR(INDEX(Players!$X$2:$X$301,$AE281),""))</f>
        <v/>
      </c>
      <c r="M281" s="14">
        <f>IF($AE281="","",IFERROR(INDEX(Players!$K$2:$K$301,$AE281),""))</f>
        <v/>
      </c>
      <c r="N281" s="14">
        <f>IF($AE281="","",IFERROR(INDEX(Players!$H$2:$H$301,$AE281),""))</f>
        <v/>
      </c>
      <c r="O281" s="15">
        <f>IF($AE281="","",IFERROR(INDEX(Players!$G$2:$G$301,$AE281),""))</f>
        <v/>
      </c>
      <c r="P281" s="14">
        <f>IF($AE281="","",IFERROR(INDEX(Players!$I$2:$I$301,$AE281),""))</f>
        <v/>
      </c>
      <c r="Q281" s="14">
        <f>IF($AE281="","",IFERROR(INDEX(Players!$F$2:$F$301,$AE281),""))</f>
        <v/>
      </c>
      <c r="R281" s="14">
        <f>IF($AE281="","",IFERROR(INDEX(Players!$J$2:$J$301,$AE281),""))</f>
        <v/>
      </c>
      <c r="S281" s="15">
        <f>IF($AE281="","",IFERROR(INDEX(Players!$L$2:$L$301,$AE281),""))</f>
        <v/>
      </c>
      <c r="T281" s="14">
        <f>IF($AE281="","",IFERROR(INDEX(Players!$M$2:$M$301,$AE281),""))</f>
        <v/>
      </c>
      <c r="U281" s="14">
        <f>IF($AE281="","",IFERROR(INDEX(Players!$N$2:$N$301,$AE281),""))</f>
        <v/>
      </c>
      <c r="V281" s="14">
        <f>IF($AE281="","",IFERROR(INDEX(Players!$O$2:$O$301,$AE281),""))</f>
        <v/>
      </c>
      <c r="W281" s="14">
        <f>IF($AE281="","",IFERROR(INDEX(Players!$P$2:$P$301,$AE281),""))</f>
        <v/>
      </c>
      <c r="X281" s="14">
        <f>IF($AE281="","",IFERROR(INDEX(Players!$Q$2:$Q$301,$AE281),""))</f>
        <v/>
      </c>
      <c r="Y281" s="14">
        <f>IF($AE281="","",IFERROR(INDEX(Players!$R$2:$R$301,$AE281),""))</f>
        <v/>
      </c>
      <c r="AE281">
        <f>IFERROR(MATCH(LARGE(Players!$V$2:$V$301,277),Players!$V$2:$V$301,0),"")</f>
        <v/>
      </c>
    </row>
    <row r="282">
      <c r="E282" s="9" t="n">
        <v>278</v>
      </c>
      <c r="F282">
        <f>IF($AE282="","",IFERROR(INDEX(Players!$B$2:$B$301,$AE282),""))</f>
        <v/>
      </c>
      <c r="G282">
        <f>IF($AE282="","",IFERROR(INDEX(Players!$D$2:$D$301,$AE282),""))</f>
        <v/>
      </c>
      <c r="H282">
        <f>IF($AE282="","",IFERROR(INDEX(Players!$C$2:$C$301,$AE282),""))</f>
        <v/>
      </c>
      <c r="I282" s="12">
        <f>IF($AE282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-278+0.5)/3.5))))</f>
        <v/>
      </c>
      <c r="J282" s="12">
        <f>IF($AE282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-278+0.5)/3.5))))</f>
        <v/>
      </c>
      <c r="K282" s="13">
        <f>IF($AE282="","",IFERROR(INDEX(Players!$U$2:$U$301,$AE282),""))</f>
        <v/>
      </c>
      <c r="L282" s="13">
        <f>IF($AE282="","",IFERROR(INDEX(Players!$X$2:$X$301,$AE282),""))</f>
        <v/>
      </c>
      <c r="M282" s="14">
        <f>IF($AE282="","",IFERROR(INDEX(Players!$K$2:$K$301,$AE282),""))</f>
        <v/>
      </c>
      <c r="N282" s="14">
        <f>IF($AE282="","",IFERROR(INDEX(Players!$H$2:$H$301,$AE282),""))</f>
        <v/>
      </c>
      <c r="O282" s="15">
        <f>IF($AE282="","",IFERROR(INDEX(Players!$G$2:$G$301,$AE282),""))</f>
        <v/>
      </c>
      <c r="P282" s="14">
        <f>IF($AE282="","",IFERROR(INDEX(Players!$I$2:$I$301,$AE282),""))</f>
        <v/>
      </c>
      <c r="Q282" s="14">
        <f>IF($AE282="","",IFERROR(INDEX(Players!$F$2:$F$301,$AE282),""))</f>
        <v/>
      </c>
      <c r="R282" s="14">
        <f>IF($AE282="","",IFERROR(INDEX(Players!$J$2:$J$301,$AE282),""))</f>
        <v/>
      </c>
      <c r="S282" s="15">
        <f>IF($AE282="","",IFERROR(INDEX(Players!$L$2:$L$301,$AE282),""))</f>
        <v/>
      </c>
      <c r="T282" s="14">
        <f>IF($AE282="","",IFERROR(INDEX(Players!$M$2:$M$301,$AE282),""))</f>
        <v/>
      </c>
      <c r="U282" s="14">
        <f>IF($AE282="","",IFERROR(INDEX(Players!$N$2:$N$301,$AE282),""))</f>
        <v/>
      </c>
      <c r="V282" s="14">
        <f>IF($AE282="","",IFERROR(INDEX(Players!$O$2:$O$301,$AE282),""))</f>
        <v/>
      </c>
      <c r="W282" s="14">
        <f>IF($AE282="","",IFERROR(INDEX(Players!$P$2:$P$301,$AE282),""))</f>
        <v/>
      </c>
      <c r="X282" s="14">
        <f>IF($AE282="","",IFERROR(INDEX(Players!$Q$2:$Q$301,$AE282),""))</f>
        <v/>
      </c>
      <c r="Y282" s="14">
        <f>IF($AE282="","",IFERROR(INDEX(Players!$R$2:$R$301,$AE282),""))</f>
        <v/>
      </c>
      <c r="AE282">
        <f>IFERROR(MATCH(LARGE(Players!$V$2:$V$301,278),Players!$V$2:$V$301,0),"")</f>
        <v/>
      </c>
    </row>
    <row r="283">
      <c r="E283" s="9" t="n">
        <v>279</v>
      </c>
      <c r="F283">
        <f>IF($AE283="","",IFERROR(INDEX(Players!$B$2:$B$301,$AE283),""))</f>
        <v/>
      </c>
      <c r="G283">
        <f>IF($AE283="","",IFERROR(INDEX(Players!$D$2:$D$301,$AE283),""))</f>
        <v/>
      </c>
      <c r="H283">
        <f>IF($AE283="","",IFERROR(INDEX(Players!$C$2:$C$301,$AE283),""))</f>
        <v/>
      </c>
      <c r="I283" s="12">
        <f>IF($AE283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-279+0.5)/3.5))))</f>
        <v/>
      </c>
      <c r="J283" s="12">
        <f>IF($AE283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-279+0.5)/3.5))))</f>
        <v/>
      </c>
      <c r="K283" s="13">
        <f>IF($AE283="","",IFERROR(INDEX(Players!$U$2:$U$301,$AE283),""))</f>
        <v/>
      </c>
      <c r="L283" s="13">
        <f>IF($AE283="","",IFERROR(INDEX(Players!$X$2:$X$301,$AE283),""))</f>
        <v/>
      </c>
      <c r="M283" s="14">
        <f>IF($AE283="","",IFERROR(INDEX(Players!$K$2:$K$301,$AE283),""))</f>
        <v/>
      </c>
      <c r="N283" s="14">
        <f>IF($AE283="","",IFERROR(INDEX(Players!$H$2:$H$301,$AE283),""))</f>
        <v/>
      </c>
      <c r="O283" s="15">
        <f>IF($AE283="","",IFERROR(INDEX(Players!$G$2:$G$301,$AE283),""))</f>
        <v/>
      </c>
      <c r="P283" s="14">
        <f>IF($AE283="","",IFERROR(INDEX(Players!$I$2:$I$301,$AE283),""))</f>
        <v/>
      </c>
      <c r="Q283" s="14">
        <f>IF($AE283="","",IFERROR(INDEX(Players!$F$2:$F$301,$AE283),""))</f>
        <v/>
      </c>
      <c r="R283" s="14">
        <f>IF($AE283="","",IFERROR(INDEX(Players!$J$2:$J$301,$AE283),""))</f>
        <v/>
      </c>
      <c r="S283" s="15">
        <f>IF($AE283="","",IFERROR(INDEX(Players!$L$2:$L$301,$AE283),""))</f>
        <v/>
      </c>
      <c r="T283" s="14">
        <f>IF($AE283="","",IFERROR(INDEX(Players!$M$2:$M$301,$AE283),""))</f>
        <v/>
      </c>
      <c r="U283" s="14">
        <f>IF($AE283="","",IFERROR(INDEX(Players!$N$2:$N$301,$AE283),""))</f>
        <v/>
      </c>
      <c r="V283" s="14">
        <f>IF($AE283="","",IFERROR(INDEX(Players!$O$2:$O$301,$AE283),""))</f>
        <v/>
      </c>
      <c r="W283" s="14">
        <f>IF($AE283="","",IFERROR(INDEX(Players!$P$2:$P$301,$AE283),""))</f>
        <v/>
      </c>
      <c r="X283" s="14">
        <f>IF($AE283="","",IFERROR(INDEX(Players!$Q$2:$Q$301,$AE283),""))</f>
        <v/>
      </c>
      <c r="Y283" s="14">
        <f>IF($AE283="","",IFERROR(INDEX(Players!$R$2:$R$301,$AE283),""))</f>
        <v/>
      </c>
      <c r="AE283">
        <f>IFERROR(MATCH(LARGE(Players!$V$2:$V$301,279),Players!$V$2:$V$301,0),"")</f>
        <v/>
      </c>
    </row>
    <row r="284">
      <c r="E284" s="9" t="n">
        <v>280</v>
      </c>
      <c r="F284">
        <f>IF($AE284="","",IFERROR(INDEX(Players!$B$2:$B$301,$AE284),""))</f>
        <v/>
      </c>
      <c r="G284">
        <f>IF($AE284="","",IFERROR(INDEX(Players!$D$2:$D$301,$AE284),""))</f>
        <v/>
      </c>
      <c r="H284">
        <f>IF($AE284="","",IFERROR(INDEX(Players!$C$2:$C$301,$AE284),""))</f>
        <v/>
      </c>
      <c r="I284" s="12">
        <f>IF($AE284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-280+0.5)/3.5))))</f>
        <v/>
      </c>
      <c r="J284" s="12">
        <f>IF($AE284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-280+0.5)/3.5))))</f>
        <v/>
      </c>
      <c r="K284" s="13">
        <f>IF($AE284="","",IFERROR(INDEX(Players!$U$2:$U$301,$AE284),""))</f>
        <v/>
      </c>
      <c r="L284" s="13">
        <f>IF($AE284="","",IFERROR(INDEX(Players!$X$2:$X$301,$AE284),""))</f>
        <v/>
      </c>
      <c r="M284" s="14">
        <f>IF($AE284="","",IFERROR(INDEX(Players!$K$2:$K$301,$AE284),""))</f>
        <v/>
      </c>
      <c r="N284" s="14">
        <f>IF($AE284="","",IFERROR(INDEX(Players!$H$2:$H$301,$AE284),""))</f>
        <v/>
      </c>
      <c r="O284" s="15">
        <f>IF($AE284="","",IFERROR(INDEX(Players!$G$2:$G$301,$AE284),""))</f>
        <v/>
      </c>
      <c r="P284" s="14">
        <f>IF($AE284="","",IFERROR(INDEX(Players!$I$2:$I$301,$AE284),""))</f>
        <v/>
      </c>
      <c r="Q284" s="14">
        <f>IF($AE284="","",IFERROR(INDEX(Players!$F$2:$F$301,$AE284),""))</f>
        <v/>
      </c>
      <c r="R284" s="14">
        <f>IF($AE284="","",IFERROR(INDEX(Players!$J$2:$J$301,$AE284),""))</f>
        <v/>
      </c>
      <c r="S284" s="15">
        <f>IF($AE284="","",IFERROR(INDEX(Players!$L$2:$L$301,$AE284),""))</f>
        <v/>
      </c>
      <c r="T284" s="14">
        <f>IF($AE284="","",IFERROR(INDEX(Players!$M$2:$M$301,$AE284),""))</f>
        <v/>
      </c>
      <c r="U284" s="14">
        <f>IF($AE284="","",IFERROR(INDEX(Players!$N$2:$N$301,$AE284),""))</f>
        <v/>
      </c>
      <c r="V284" s="14">
        <f>IF($AE284="","",IFERROR(INDEX(Players!$O$2:$O$301,$AE284),""))</f>
        <v/>
      </c>
      <c r="W284" s="14">
        <f>IF($AE284="","",IFERROR(INDEX(Players!$P$2:$P$301,$AE284),""))</f>
        <v/>
      </c>
      <c r="X284" s="14">
        <f>IF($AE284="","",IFERROR(INDEX(Players!$Q$2:$Q$301,$AE284),""))</f>
        <v/>
      </c>
      <c r="Y284" s="14">
        <f>IF($AE284="","",IFERROR(INDEX(Players!$R$2:$R$301,$AE284),""))</f>
        <v/>
      </c>
      <c r="AE284">
        <f>IFERROR(MATCH(LARGE(Players!$V$2:$V$301,280),Players!$V$2:$V$301,0),"")</f>
        <v/>
      </c>
    </row>
    <row r="285">
      <c r="E285" s="9" t="n">
        <v>281</v>
      </c>
      <c r="F285">
        <f>IF($AE285="","",IFERROR(INDEX(Players!$B$2:$B$301,$AE285),""))</f>
        <v/>
      </c>
      <c r="G285">
        <f>IF($AE285="","",IFERROR(INDEX(Players!$D$2:$D$301,$AE285),""))</f>
        <v/>
      </c>
      <c r="H285">
        <f>IF($AE285="","",IFERROR(INDEX(Players!$C$2:$C$301,$AE285),""))</f>
        <v/>
      </c>
      <c r="I285" s="12">
        <f>IF($AE285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-281+0.5)/3.5))))</f>
        <v/>
      </c>
      <c r="J285" s="12">
        <f>IF($AE285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-281+0.5)/3.5))))</f>
        <v/>
      </c>
      <c r="K285" s="13">
        <f>IF($AE285="","",IFERROR(INDEX(Players!$U$2:$U$301,$AE285),""))</f>
        <v/>
      </c>
      <c r="L285" s="13">
        <f>IF($AE285="","",IFERROR(INDEX(Players!$X$2:$X$301,$AE285),""))</f>
        <v/>
      </c>
      <c r="M285" s="14">
        <f>IF($AE285="","",IFERROR(INDEX(Players!$K$2:$K$301,$AE285),""))</f>
        <v/>
      </c>
      <c r="N285" s="14">
        <f>IF($AE285="","",IFERROR(INDEX(Players!$H$2:$H$301,$AE285),""))</f>
        <v/>
      </c>
      <c r="O285" s="15">
        <f>IF($AE285="","",IFERROR(INDEX(Players!$G$2:$G$301,$AE285),""))</f>
        <v/>
      </c>
      <c r="P285" s="14">
        <f>IF($AE285="","",IFERROR(INDEX(Players!$I$2:$I$301,$AE285),""))</f>
        <v/>
      </c>
      <c r="Q285" s="14">
        <f>IF($AE285="","",IFERROR(INDEX(Players!$F$2:$F$301,$AE285),""))</f>
        <v/>
      </c>
      <c r="R285" s="14">
        <f>IF($AE285="","",IFERROR(INDEX(Players!$J$2:$J$301,$AE285),""))</f>
        <v/>
      </c>
      <c r="S285" s="15">
        <f>IF($AE285="","",IFERROR(INDEX(Players!$L$2:$L$301,$AE285),""))</f>
        <v/>
      </c>
      <c r="T285" s="14">
        <f>IF($AE285="","",IFERROR(INDEX(Players!$M$2:$M$301,$AE285),""))</f>
        <v/>
      </c>
      <c r="U285" s="14">
        <f>IF($AE285="","",IFERROR(INDEX(Players!$N$2:$N$301,$AE285),""))</f>
        <v/>
      </c>
      <c r="V285" s="14">
        <f>IF($AE285="","",IFERROR(INDEX(Players!$O$2:$O$301,$AE285),""))</f>
        <v/>
      </c>
      <c r="W285" s="14">
        <f>IF($AE285="","",IFERROR(INDEX(Players!$P$2:$P$301,$AE285),""))</f>
        <v/>
      </c>
      <c r="X285" s="14">
        <f>IF($AE285="","",IFERROR(INDEX(Players!$Q$2:$Q$301,$AE285),""))</f>
        <v/>
      </c>
      <c r="Y285" s="14">
        <f>IF($AE285="","",IFERROR(INDEX(Players!$R$2:$R$301,$AE285),""))</f>
        <v/>
      </c>
      <c r="AE285">
        <f>IFERROR(MATCH(LARGE(Players!$V$2:$V$301,281),Players!$V$2:$V$301,0),"")</f>
        <v/>
      </c>
    </row>
    <row r="286">
      <c r="E286" s="9" t="n">
        <v>282</v>
      </c>
      <c r="F286">
        <f>IF($AE286="","",IFERROR(INDEX(Players!$B$2:$B$301,$AE286),""))</f>
        <v/>
      </c>
      <c r="G286">
        <f>IF($AE286="","",IFERROR(INDEX(Players!$D$2:$D$301,$AE286),""))</f>
        <v/>
      </c>
      <c r="H286">
        <f>IF($AE286="","",IFERROR(INDEX(Players!$C$2:$C$301,$AE286),""))</f>
        <v/>
      </c>
      <c r="I286" s="12">
        <f>IF($AE286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-282+0.5)/3.5))))</f>
        <v/>
      </c>
      <c r="J286" s="12">
        <f>IF($AE286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-282+0.5)/3.5))))</f>
        <v/>
      </c>
      <c r="K286" s="13">
        <f>IF($AE286="","",IFERROR(INDEX(Players!$U$2:$U$301,$AE286),""))</f>
        <v/>
      </c>
      <c r="L286" s="13">
        <f>IF($AE286="","",IFERROR(INDEX(Players!$X$2:$X$301,$AE286),""))</f>
        <v/>
      </c>
      <c r="M286" s="14">
        <f>IF($AE286="","",IFERROR(INDEX(Players!$K$2:$K$301,$AE286),""))</f>
        <v/>
      </c>
      <c r="N286" s="14">
        <f>IF($AE286="","",IFERROR(INDEX(Players!$H$2:$H$301,$AE286),""))</f>
        <v/>
      </c>
      <c r="O286" s="15">
        <f>IF($AE286="","",IFERROR(INDEX(Players!$G$2:$G$301,$AE286),""))</f>
        <v/>
      </c>
      <c r="P286" s="14">
        <f>IF($AE286="","",IFERROR(INDEX(Players!$I$2:$I$301,$AE286),""))</f>
        <v/>
      </c>
      <c r="Q286" s="14">
        <f>IF($AE286="","",IFERROR(INDEX(Players!$F$2:$F$301,$AE286),""))</f>
        <v/>
      </c>
      <c r="R286" s="14">
        <f>IF($AE286="","",IFERROR(INDEX(Players!$J$2:$J$301,$AE286),""))</f>
        <v/>
      </c>
      <c r="S286" s="15">
        <f>IF($AE286="","",IFERROR(INDEX(Players!$L$2:$L$301,$AE286),""))</f>
        <v/>
      </c>
      <c r="T286" s="14">
        <f>IF($AE286="","",IFERROR(INDEX(Players!$M$2:$M$301,$AE286),""))</f>
        <v/>
      </c>
      <c r="U286" s="14">
        <f>IF($AE286="","",IFERROR(INDEX(Players!$N$2:$N$301,$AE286),""))</f>
        <v/>
      </c>
      <c r="V286" s="14">
        <f>IF($AE286="","",IFERROR(INDEX(Players!$O$2:$O$301,$AE286),""))</f>
        <v/>
      </c>
      <c r="W286" s="14">
        <f>IF($AE286="","",IFERROR(INDEX(Players!$P$2:$P$301,$AE286),""))</f>
        <v/>
      </c>
      <c r="X286" s="14">
        <f>IF($AE286="","",IFERROR(INDEX(Players!$Q$2:$Q$301,$AE286),""))</f>
        <v/>
      </c>
      <c r="Y286" s="14">
        <f>IF($AE286="","",IFERROR(INDEX(Players!$R$2:$R$301,$AE286),""))</f>
        <v/>
      </c>
      <c r="AE286">
        <f>IFERROR(MATCH(LARGE(Players!$V$2:$V$301,282),Players!$V$2:$V$301,0),"")</f>
        <v/>
      </c>
    </row>
    <row r="287">
      <c r="E287" s="9" t="n">
        <v>283</v>
      </c>
      <c r="F287">
        <f>IF($AE287="","",IFERROR(INDEX(Players!$B$2:$B$301,$AE287),""))</f>
        <v/>
      </c>
      <c r="G287">
        <f>IF($AE287="","",IFERROR(INDEX(Players!$D$2:$D$301,$AE287),""))</f>
        <v/>
      </c>
      <c r="H287">
        <f>IF($AE287="","",IFERROR(INDEX(Players!$C$2:$C$301,$AE287),""))</f>
        <v/>
      </c>
      <c r="I287" s="12">
        <f>IF($AE287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-283+0.5)/3.5))))</f>
        <v/>
      </c>
      <c r="J287" s="12">
        <f>IF($AE287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-283+0.5)/3.5))))</f>
        <v/>
      </c>
      <c r="K287" s="13">
        <f>IF($AE287="","",IFERROR(INDEX(Players!$U$2:$U$301,$AE287),""))</f>
        <v/>
      </c>
      <c r="L287" s="13">
        <f>IF($AE287="","",IFERROR(INDEX(Players!$X$2:$X$301,$AE287),""))</f>
        <v/>
      </c>
      <c r="M287" s="14">
        <f>IF($AE287="","",IFERROR(INDEX(Players!$K$2:$K$301,$AE287),""))</f>
        <v/>
      </c>
      <c r="N287" s="14">
        <f>IF($AE287="","",IFERROR(INDEX(Players!$H$2:$H$301,$AE287),""))</f>
        <v/>
      </c>
      <c r="O287" s="15">
        <f>IF($AE287="","",IFERROR(INDEX(Players!$G$2:$G$301,$AE287),""))</f>
        <v/>
      </c>
      <c r="P287" s="14">
        <f>IF($AE287="","",IFERROR(INDEX(Players!$I$2:$I$301,$AE287),""))</f>
        <v/>
      </c>
      <c r="Q287" s="14">
        <f>IF($AE287="","",IFERROR(INDEX(Players!$F$2:$F$301,$AE287),""))</f>
        <v/>
      </c>
      <c r="R287" s="14">
        <f>IF($AE287="","",IFERROR(INDEX(Players!$J$2:$J$301,$AE287),""))</f>
        <v/>
      </c>
      <c r="S287" s="15">
        <f>IF($AE287="","",IFERROR(INDEX(Players!$L$2:$L$301,$AE287),""))</f>
        <v/>
      </c>
      <c r="T287" s="14">
        <f>IF($AE287="","",IFERROR(INDEX(Players!$M$2:$M$301,$AE287),""))</f>
        <v/>
      </c>
      <c r="U287" s="14">
        <f>IF($AE287="","",IFERROR(INDEX(Players!$N$2:$N$301,$AE287),""))</f>
        <v/>
      </c>
      <c r="V287" s="14">
        <f>IF($AE287="","",IFERROR(INDEX(Players!$O$2:$O$301,$AE287),""))</f>
        <v/>
      </c>
      <c r="W287" s="14">
        <f>IF($AE287="","",IFERROR(INDEX(Players!$P$2:$P$301,$AE287),""))</f>
        <v/>
      </c>
      <c r="X287" s="14">
        <f>IF($AE287="","",IFERROR(INDEX(Players!$Q$2:$Q$301,$AE287),""))</f>
        <v/>
      </c>
      <c r="Y287" s="14">
        <f>IF($AE287="","",IFERROR(INDEX(Players!$R$2:$R$301,$AE287),""))</f>
        <v/>
      </c>
      <c r="AE287">
        <f>IFERROR(MATCH(LARGE(Players!$V$2:$V$301,283),Players!$V$2:$V$301,0),"")</f>
        <v/>
      </c>
    </row>
    <row r="288">
      <c r="E288" s="9" t="n">
        <v>284</v>
      </c>
      <c r="F288">
        <f>IF($AE288="","",IFERROR(INDEX(Players!$B$2:$B$301,$AE288),""))</f>
        <v/>
      </c>
      <c r="G288">
        <f>IF($AE288="","",IFERROR(INDEX(Players!$D$2:$D$301,$AE288),""))</f>
        <v/>
      </c>
      <c r="H288">
        <f>IF($AE288="","",IFERROR(INDEX(Players!$C$2:$C$301,$AE288),""))</f>
        <v/>
      </c>
      <c r="I288" s="12">
        <f>IF($AE288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-284+0.5)/3.5))))</f>
        <v/>
      </c>
      <c r="J288" s="12">
        <f>IF($AE288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-284+0.5)/3.5))))</f>
        <v/>
      </c>
      <c r="K288" s="13">
        <f>IF($AE288="","",IFERROR(INDEX(Players!$U$2:$U$301,$AE288),""))</f>
        <v/>
      </c>
      <c r="L288" s="13">
        <f>IF($AE288="","",IFERROR(INDEX(Players!$X$2:$X$301,$AE288),""))</f>
        <v/>
      </c>
      <c r="M288" s="14">
        <f>IF($AE288="","",IFERROR(INDEX(Players!$K$2:$K$301,$AE288),""))</f>
        <v/>
      </c>
      <c r="N288" s="14">
        <f>IF($AE288="","",IFERROR(INDEX(Players!$H$2:$H$301,$AE288),""))</f>
        <v/>
      </c>
      <c r="O288" s="15">
        <f>IF($AE288="","",IFERROR(INDEX(Players!$G$2:$G$301,$AE288),""))</f>
        <v/>
      </c>
      <c r="P288" s="14">
        <f>IF($AE288="","",IFERROR(INDEX(Players!$I$2:$I$301,$AE288),""))</f>
        <v/>
      </c>
      <c r="Q288" s="14">
        <f>IF($AE288="","",IFERROR(INDEX(Players!$F$2:$F$301,$AE288),""))</f>
        <v/>
      </c>
      <c r="R288" s="14">
        <f>IF($AE288="","",IFERROR(INDEX(Players!$J$2:$J$301,$AE288),""))</f>
        <v/>
      </c>
      <c r="S288" s="15">
        <f>IF($AE288="","",IFERROR(INDEX(Players!$L$2:$L$301,$AE288),""))</f>
        <v/>
      </c>
      <c r="T288" s="14">
        <f>IF($AE288="","",IFERROR(INDEX(Players!$M$2:$M$301,$AE288),""))</f>
        <v/>
      </c>
      <c r="U288" s="14">
        <f>IF($AE288="","",IFERROR(INDEX(Players!$N$2:$N$301,$AE288),""))</f>
        <v/>
      </c>
      <c r="V288" s="14">
        <f>IF($AE288="","",IFERROR(INDEX(Players!$O$2:$O$301,$AE288),""))</f>
        <v/>
      </c>
      <c r="W288" s="14">
        <f>IF($AE288="","",IFERROR(INDEX(Players!$P$2:$P$301,$AE288),""))</f>
        <v/>
      </c>
      <c r="X288" s="14">
        <f>IF($AE288="","",IFERROR(INDEX(Players!$Q$2:$Q$301,$AE288),""))</f>
        <v/>
      </c>
      <c r="Y288" s="14">
        <f>IF($AE288="","",IFERROR(INDEX(Players!$R$2:$R$301,$AE288),""))</f>
        <v/>
      </c>
      <c r="AE288">
        <f>IFERROR(MATCH(LARGE(Players!$V$2:$V$301,284),Players!$V$2:$V$301,0),"")</f>
        <v/>
      </c>
    </row>
    <row r="289">
      <c r="E289" s="9" t="n">
        <v>285</v>
      </c>
      <c r="F289">
        <f>IF($AE289="","",IFERROR(INDEX(Players!$B$2:$B$301,$AE289),""))</f>
        <v/>
      </c>
      <c r="G289">
        <f>IF($AE289="","",IFERROR(INDEX(Players!$D$2:$D$301,$AE289),""))</f>
        <v/>
      </c>
      <c r="H289">
        <f>IF($AE289="","",IFERROR(INDEX(Players!$C$2:$C$301,$AE289),""))</f>
        <v/>
      </c>
      <c r="I289" s="12">
        <f>IF($AE289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-285+0.5)/3.5))))</f>
        <v/>
      </c>
      <c r="J289" s="12">
        <f>IF($AE289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-285+0.5)/3.5))))</f>
        <v/>
      </c>
      <c r="K289" s="13">
        <f>IF($AE289="","",IFERROR(INDEX(Players!$U$2:$U$301,$AE289),""))</f>
        <v/>
      </c>
      <c r="L289" s="13">
        <f>IF($AE289="","",IFERROR(INDEX(Players!$X$2:$X$301,$AE289),""))</f>
        <v/>
      </c>
      <c r="M289" s="14">
        <f>IF($AE289="","",IFERROR(INDEX(Players!$K$2:$K$301,$AE289),""))</f>
        <v/>
      </c>
      <c r="N289" s="14">
        <f>IF($AE289="","",IFERROR(INDEX(Players!$H$2:$H$301,$AE289),""))</f>
        <v/>
      </c>
      <c r="O289" s="15">
        <f>IF($AE289="","",IFERROR(INDEX(Players!$G$2:$G$301,$AE289),""))</f>
        <v/>
      </c>
      <c r="P289" s="14">
        <f>IF($AE289="","",IFERROR(INDEX(Players!$I$2:$I$301,$AE289),""))</f>
        <v/>
      </c>
      <c r="Q289" s="14">
        <f>IF($AE289="","",IFERROR(INDEX(Players!$F$2:$F$301,$AE289),""))</f>
        <v/>
      </c>
      <c r="R289" s="14">
        <f>IF($AE289="","",IFERROR(INDEX(Players!$J$2:$J$301,$AE289),""))</f>
        <v/>
      </c>
      <c r="S289" s="15">
        <f>IF($AE289="","",IFERROR(INDEX(Players!$L$2:$L$301,$AE289),""))</f>
        <v/>
      </c>
      <c r="T289" s="14">
        <f>IF($AE289="","",IFERROR(INDEX(Players!$M$2:$M$301,$AE289),""))</f>
        <v/>
      </c>
      <c r="U289" s="14">
        <f>IF($AE289="","",IFERROR(INDEX(Players!$N$2:$N$301,$AE289),""))</f>
        <v/>
      </c>
      <c r="V289" s="14">
        <f>IF($AE289="","",IFERROR(INDEX(Players!$O$2:$O$301,$AE289),""))</f>
        <v/>
      </c>
      <c r="W289" s="14">
        <f>IF($AE289="","",IFERROR(INDEX(Players!$P$2:$P$301,$AE289),""))</f>
        <v/>
      </c>
      <c r="X289" s="14">
        <f>IF($AE289="","",IFERROR(INDEX(Players!$Q$2:$Q$301,$AE289),""))</f>
        <v/>
      </c>
      <c r="Y289" s="14">
        <f>IF($AE289="","",IFERROR(INDEX(Players!$R$2:$R$301,$AE289),""))</f>
        <v/>
      </c>
      <c r="AE289">
        <f>IFERROR(MATCH(LARGE(Players!$V$2:$V$301,285),Players!$V$2:$V$301,0),"")</f>
        <v/>
      </c>
    </row>
    <row r="290">
      <c r="E290" s="9" t="n">
        <v>286</v>
      </c>
      <c r="F290">
        <f>IF($AE290="","",IFERROR(INDEX(Players!$B$2:$B$301,$AE290),""))</f>
        <v/>
      </c>
      <c r="G290">
        <f>IF($AE290="","",IFERROR(INDEX(Players!$D$2:$D$301,$AE290),""))</f>
        <v/>
      </c>
      <c r="H290">
        <f>IF($AE290="","",IFERROR(INDEX(Players!$C$2:$C$301,$AE290),""))</f>
        <v/>
      </c>
      <c r="I290" s="12">
        <f>IF($AE290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-286+0.5)/3.5))))</f>
        <v/>
      </c>
      <c r="J290" s="12">
        <f>IF($AE290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-286+0.5)/3.5))))</f>
        <v/>
      </c>
      <c r="K290" s="13">
        <f>IF($AE290="","",IFERROR(INDEX(Players!$U$2:$U$301,$AE290),""))</f>
        <v/>
      </c>
      <c r="L290" s="13">
        <f>IF($AE290="","",IFERROR(INDEX(Players!$X$2:$X$301,$AE290),""))</f>
        <v/>
      </c>
      <c r="M290" s="14">
        <f>IF($AE290="","",IFERROR(INDEX(Players!$K$2:$K$301,$AE290),""))</f>
        <v/>
      </c>
      <c r="N290" s="14">
        <f>IF($AE290="","",IFERROR(INDEX(Players!$H$2:$H$301,$AE290),""))</f>
        <v/>
      </c>
      <c r="O290" s="15">
        <f>IF($AE290="","",IFERROR(INDEX(Players!$G$2:$G$301,$AE290),""))</f>
        <v/>
      </c>
      <c r="P290" s="14">
        <f>IF($AE290="","",IFERROR(INDEX(Players!$I$2:$I$301,$AE290),""))</f>
        <v/>
      </c>
      <c r="Q290" s="14">
        <f>IF($AE290="","",IFERROR(INDEX(Players!$F$2:$F$301,$AE290),""))</f>
        <v/>
      </c>
      <c r="R290" s="14">
        <f>IF($AE290="","",IFERROR(INDEX(Players!$J$2:$J$301,$AE290),""))</f>
        <v/>
      </c>
      <c r="S290" s="15">
        <f>IF($AE290="","",IFERROR(INDEX(Players!$L$2:$L$301,$AE290),""))</f>
        <v/>
      </c>
      <c r="T290" s="14">
        <f>IF($AE290="","",IFERROR(INDEX(Players!$M$2:$M$301,$AE290),""))</f>
        <v/>
      </c>
      <c r="U290" s="14">
        <f>IF($AE290="","",IFERROR(INDEX(Players!$N$2:$N$301,$AE290),""))</f>
        <v/>
      </c>
      <c r="V290" s="14">
        <f>IF($AE290="","",IFERROR(INDEX(Players!$O$2:$O$301,$AE290),""))</f>
        <v/>
      </c>
      <c r="W290" s="14">
        <f>IF($AE290="","",IFERROR(INDEX(Players!$P$2:$P$301,$AE290),""))</f>
        <v/>
      </c>
      <c r="X290" s="14">
        <f>IF($AE290="","",IFERROR(INDEX(Players!$Q$2:$Q$301,$AE290),""))</f>
        <v/>
      </c>
      <c r="Y290" s="14">
        <f>IF($AE290="","",IFERROR(INDEX(Players!$R$2:$R$301,$AE290),""))</f>
        <v/>
      </c>
      <c r="AE290">
        <f>IFERROR(MATCH(LARGE(Players!$V$2:$V$301,286),Players!$V$2:$V$301,0),"")</f>
        <v/>
      </c>
    </row>
    <row r="291">
      <c r="E291" s="9" t="n">
        <v>287</v>
      </c>
      <c r="F291">
        <f>IF($AE291="","",IFERROR(INDEX(Players!$B$2:$B$301,$AE291),""))</f>
        <v/>
      </c>
      <c r="G291">
        <f>IF($AE291="","",IFERROR(INDEX(Players!$D$2:$D$301,$AE291),""))</f>
        <v/>
      </c>
      <c r="H291">
        <f>IF($AE291="","",IFERROR(INDEX(Players!$C$2:$C$301,$AE291),""))</f>
        <v/>
      </c>
      <c r="I291" s="12">
        <f>IF($AE291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-287+0.5)/3.5))))</f>
        <v/>
      </c>
      <c r="J291" s="12">
        <f>IF($AE291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-287+0.5)/3.5))))</f>
        <v/>
      </c>
      <c r="K291" s="13">
        <f>IF($AE291="","",IFERROR(INDEX(Players!$U$2:$U$301,$AE291),""))</f>
        <v/>
      </c>
      <c r="L291" s="13">
        <f>IF($AE291="","",IFERROR(INDEX(Players!$X$2:$X$301,$AE291),""))</f>
        <v/>
      </c>
      <c r="M291" s="14">
        <f>IF($AE291="","",IFERROR(INDEX(Players!$K$2:$K$301,$AE291),""))</f>
        <v/>
      </c>
      <c r="N291" s="14">
        <f>IF($AE291="","",IFERROR(INDEX(Players!$H$2:$H$301,$AE291),""))</f>
        <v/>
      </c>
      <c r="O291" s="15">
        <f>IF($AE291="","",IFERROR(INDEX(Players!$G$2:$G$301,$AE291),""))</f>
        <v/>
      </c>
      <c r="P291" s="14">
        <f>IF($AE291="","",IFERROR(INDEX(Players!$I$2:$I$301,$AE291),""))</f>
        <v/>
      </c>
      <c r="Q291" s="14">
        <f>IF($AE291="","",IFERROR(INDEX(Players!$F$2:$F$301,$AE291),""))</f>
        <v/>
      </c>
      <c r="R291" s="14">
        <f>IF($AE291="","",IFERROR(INDEX(Players!$J$2:$J$301,$AE291),""))</f>
        <v/>
      </c>
      <c r="S291" s="15">
        <f>IF($AE291="","",IFERROR(INDEX(Players!$L$2:$L$301,$AE291),""))</f>
        <v/>
      </c>
      <c r="T291" s="14">
        <f>IF($AE291="","",IFERROR(INDEX(Players!$M$2:$M$301,$AE291),""))</f>
        <v/>
      </c>
      <c r="U291" s="14">
        <f>IF($AE291="","",IFERROR(INDEX(Players!$N$2:$N$301,$AE291),""))</f>
        <v/>
      </c>
      <c r="V291" s="14">
        <f>IF($AE291="","",IFERROR(INDEX(Players!$O$2:$O$301,$AE291),""))</f>
        <v/>
      </c>
      <c r="W291" s="14">
        <f>IF($AE291="","",IFERROR(INDEX(Players!$P$2:$P$301,$AE291),""))</f>
        <v/>
      </c>
      <c r="X291" s="14">
        <f>IF($AE291="","",IFERROR(INDEX(Players!$Q$2:$Q$301,$AE291),""))</f>
        <v/>
      </c>
      <c r="Y291" s="14">
        <f>IF($AE291="","",IFERROR(INDEX(Players!$R$2:$R$301,$AE291),""))</f>
        <v/>
      </c>
      <c r="AE291">
        <f>IFERROR(MATCH(LARGE(Players!$V$2:$V$301,287),Players!$V$2:$V$301,0),"")</f>
        <v/>
      </c>
    </row>
    <row r="292">
      <c r="E292" s="9" t="n">
        <v>288</v>
      </c>
      <c r="F292">
        <f>IF($AE292="","",IFERROR(INDEX(Players!$B$2:$B$301,$AE292),""))</f>
        <v/>
      </c>
      <c r="G292">
        <f>IF($AE292="","",IFERROR(INDEX(Players!$D$2:$D$301,$AE292),""))</f>
        <v/>
      </c>
      <c r="H292">
        <f>IF($AE292="","",IFERROR(INDEX(Players!$C$2:$C$301,$AE292),""))</f>
        <v/>
      </c>
      <c r="I292" s="12">
        <f>IF($AE292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-288+0.5)/3.5))))</f>
        <v/>
      </c>
      <c r="J292" s="12">
        <f>IF($AE292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-288+0.5)/3.5))))</f>
        <v/>
      </c>
      <c r="K292" s="13">
        <f>IF($AE292="","",IFERROR(INDEX(Players!$U$2:$U$301,$AE292),""))</f>
        <v/>
      </c>
      <c r="L292" s="13">
        <f>IF($AE292="","",IFERROR(INDEX(Players!$X$2:$X$301,$AE292),""))</f>
        <v/>
      </c>
      <c r="M292" s="14">
        <f>IF($AE292="","",IFERROR(INDEX(Players!$K$2:$K$301,$AE292),""))</f>
        <v/>
      </c>
      <c r="N292" s="14">
        <f>IF($AE292="","",IFERROR(INDEX(Players!$H$2:$H$301,$AE292),""))</f>
        <v/>
      </c>
      <c r="O292" s="15">
        <f>IF($AE292="","",IFERROR(INDEX(Players!$G$2:$G$301,$AE292),""))</f>
        <v/>
      </c>
      <c r="P292" s="14">
        <f>IF($AE292="","",IFERROR(INDEX(Players!$I$2:$I$301,$AE292),""))</f>
        <v/>
      </c>
      <c r="Q292" s="14">
        <f>IF($AE292="","",IFERROR(INDEX(Players!$F$2:$F$301,$AE292),""))</f>
        <v/>
      </c>
      <c r="R292" s="14">
        <f>IF($AE292="","",IFERROR(INDEX(Players!$J$2:$J$301,$AE292),""))</f>
        <v/>
      </c>
      <c r="S292" s="15">
        <f>IF($AE292="","",IFERROR(INDEX(Players!$L$2:$L$301,$AE292),""))</f>
        <v/>
      </c>
      <c r="T292" s="14">
        <f>IF($AE292="","",IFERROR(INDEX(Players!$M$2:$M$301,$AE292),""))</f>
        <v/>
      </c>
      <c r="U292" s="14">
        <f>IF($AE292="","",IFERROR(INDEX(Players!$N$2:$N$301,$AE292),""))</f>
        <v/>
      </c>
      <c r="V292" s="14">
        <f>IF($AE292="","",IFERROR(INDEX(Players!$O$2:$O$301,$AE292),""))</f>
        <v/>
      </c>
      <c r="W292" s="14">
        <f>IF($AE292="","",IFERROR(INDEX(Players!$P$2:$P$301,$AE292),""))</f>
        <v/>
      </c>
      <c r="X292" s="14">
        <f>IF($AE292="","",IFERROR(INDEX(Players!$Q$2:$Q$301,$AE292),""))</f>
        <v/>
      </c>
      <c r="Y292" s="14">
        <f>IF($AE292="","",IFERROR(INDEX(Players!$R$2:$R$301,$AE292),""))</f>
        <v/>
      </c>
      <c r="AE292">
        <f>IFERROR(MATCH(LARGE(Players!$V$2:$V$301,288),Players!$V$2:$V$301,0),"")</f>
        <v/>
      </c>
    </row>
    <row r="293">
      <c r="E293" s="9" t="n">
        <v>289</v>
      </c>
      <c r="F293">
        <f>IF($AE293="","",IFERROR(INDEX(Players!$B$2:$B$301,$AE293),""))</f>
        <v/>
      </c>
      <c r="G293">
        <f>IF($AE293="","",IFERROR(INDEX(Players!$D$2:$D$301,$AE293),""))</f>
        <v/>
      </c>
      <c r="H293">
        <f>IF($AE293="","",IFERROR(INDEX(Players!$C$2:$C$301,$AE293),""))</f>
        <v/>
      </c>
      <c r="I293" s="12">
        <f>IF($AE293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-289+0.5)/3.5))))</f>
        <v/>
      </c>
      <c r="J293" s="12">
        <f>IF($AE293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-289+0.5)/3.5))))</f>
        <v/>
      </c>
      <c r="K293" s="13">
        <f>IF($AE293="","",IFERROR(INDEX(Players!$U$2:$U$301,$AE293),""))</f>
        <v/>
      </c>
      <c r="L293" s="13">
        <f>IF($AE293="","",IFERROR(INDEX(Players!$X$2:$X$301,$AE293),""))</f>
        <v/>
      </c>
      <c r="M293" s="14">
        <f>IF($AE293="","",IFERROR(INDEX(Players!$K$2:$K$301,$AE293),""))</f>
        <v/>
      </c>
      <c r="N293" s="14">
        <f>IF($AE293="","",IFERROR(INDEX(Players!$H$2:$H$301,$AE293),""))</f>
        <v/>
      </c>
      <c r="O293" s="15">
        <f>IF($AE293="","",IFERROR(INDEX(Players!$G$2:$G$301,$AE293),""))</f>
        <v/>
      </c>
      <c r="P293" s="14">
        <f>IF($AE293="","",IFERROR(INDEX(Players!$I$2:$I$301,$AE293),""))</f>
        <v/>
      </c>
      <c r="Q293" s="14">
        <f>IF($AE293="","",IFERROR(INDEX(Players!$F$2:$F$301,$AE293),""))</f>
        <v/>
      </c>
      <c r="R293" s="14">
        <f>IF($AE293="","",IFERROR(INDEX(Players!$J$2:$J$301,$AE293),""))</f>
        <v/>
      </c>
      <c r="S293" s="15">
        <f>IF($AE293="","",IFERROR(INDEX(Players!$L$2:$L$301,$AE293),""))</f>
        <v/>
      </c>
      <c r="T293" s="14">
        <f>IF($AE293="","",IFERROR(INDEX(Players!$M$2:$M$301,$AE293),""))</f>
        <v/>
      </c>
      <c r="U293" s="14">
        <f>IF($AE293="","",IFERROR(INDEX(Players!$N$2:$N$301,$AE293),""))</f>
        <v/>
      </c>
      <c r="V293" s="14">
        <f>IF($AE293="","",IFERROR(INDEX(Players!$O$2:$O$301,$AE293),""))</f>
        <v/>
      </c>
      <c r="W293" s="14">
        <f>IF($AE293="","",IFERROR(INDEX(Players!$P$2:$P$301,$AE293),""))</f>
        <v/>
      </c>
      <c r="X293" s="14">
        <f>IF($AE293="","",IFERROR(INDEX(Players!$Q$2:$Q$301,$AE293),""))</f>
        <v/>
      </c>
      <c r="Y293" s="14">
        <f>IF($AE293="","",IFERROR(INDEX(Players!$R$2:$R$301,$AE293),""))</f>
        <v/>
      </c>
      <c r="AE293">
        <f>IFERROR(MATCH(LARGE(Players!$V$2:$V$301,289),Players!$V$2:$V$301,0),"")</f>
        <v/>
      </c>
    </row>
    <row r="294">
      <c r="E294" s="9" t="n">
        <v>290</v>
      </c>
      <c r="F294">
        <f>IF($AE294="","",IFERROR(INDEX(Players!$B$2:$B$301,$AE294),""))</f>
        <v/>
      </c>
      <c r="G294">
        <f>IF($AE294="","",IFERROR(INDEX(Players!$D$2:$D$301,$AE294),""))</f>
        <v/>
      </c>
      <c r="H294">
        <f>IF($AE294="","",IFERROR(INDEX(Players!$C$2:$C$301,$AE294),""))</f>
        <v/>
      </c>
      <c r="I294" s="12">
        <f>IF($AE294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-290+0.5)/3.5))))</f>
        <v/>
      </c>
      <c r="J294" s="12">
        <f>IF($AE294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-290+0.5)/3.5))))</f>
        <v/>
      </c>
      <c r="K294" s="13">
        <f>IF($AE294="","",IFERROR(INDEX(Players!$U$2:$U$301,$AE294),""))</f>
        <v/>
      </c>
      <c r="L294" s="13">
        <f>IF($AE294="","",IFERROR(INDEX(Players!$X$2:$X$301,$AE294),""))</f>
        <v/>
      </c>
      <c r="M294" s="14">
        <f>IF($AE294="","",IFERROR(INDEX(Players!$K$2:$K$301,$AE294),""))</f>
        <v/>
      </c>
      <c r="N294" s="14">
        <f>IF($AE294="","",IFERROR(INDEX(Players!$H$2:$H$301,$AE294),""))</f>
        <v/>
      </c>
      <c r="O294" s="15">
        <f>IF($AE294="","",IFERROR(INDEX(Players!$G$2:$G$301,$AE294),""))</f>
        <v/>
      </c>
      <c r="P294" s="14">
        <f>IF($AE294="","",IFERROR(INDEX(Players!$I$2:$I$301,$AE294),""))</f>
        <v/>
      </c>
      <c r="Q294" s="14">
        <f>IF($AE294="","",IFERROR(INDEX(Players!$F$2:$F$301,$AE294),""))</f>
        <v/>
      </c>
      <c r="R294" s="14">
        <f>IF($AE294="","",IFERROR(INDEX(Players!$J$2:$J$301,$AE294),""))</f>
        <v/>
      </c>
      <c r="S294" s="15">
        <f>IF($AE294="","",IFERROR(INDEX(Players!$L$2:$L$301,$AE294),""))</f>
        <v/>
      </c>
      <c r="T294" s="14">
        <f>IF($AE294="","",IFERROR(INDEX(Players!$M$2:$M$301,$AE294),""))</f>
        <v/>
      </c>
      <c r="U294" s="14">
        <f>IF($AE294="","",IFERROR(INDEX(Players!$N$2:$N$301,$AE294),""))</f>
        <v/>
      </c>
      <c r="V294" s="14">
        <f>IF($AE294="","",IFERROR(INDEX(Players!$O$2:$O$301,$AE294),""))</f>
        <v/>
      </c>
      <c r="W294" s="14">
        <f>IF($AE294="","",IFERROR(INDEX(Players!$P$2:$P$301,$AE294),""))</f>
        <v/>
      </c>
      <c r="X294" s="14">
        <f>IF($AE294="","",IFERROR(INDEX(Players!$Q$2:$Q$301,$AE294),""))</f>
        <v/>
      </c>
      <c r="Y294" s="14">
        <f>IF($AE294="","",IFERROR(INDEX(Players!$R$2:$R$301,$AE294),""))</f>
        <v/>
      </c>
      <c r="AE294">
        <f>IFERROR(MATCH(LARGE(Players!$V$2:$V$301,290),Players!$V$2:$V$301,0),"")</f>
        <v/>
      </c>
    </row>
    <row r="295">
      <c r="E295" s="9" t="n">
        <v>291</v>
      </c>
      <c r="F295">
        <f>IF($AE295="","",IFERROR(INDEX(Players!$B$2:$B$301,$AE295),""))</f>
        <v/>
      </c>
      <c r="G295">
        <f>IF($AE295="","",IFERROR(INDEX(Players!$D$2:$D$301,$AE295),""))</f>
        <v/>
      </c>
      <c r="H295">
        <f>IF($AE295="","",IFERROR(INDEX(Players!$C$2:$C$301,$AE295),""))</f>
        <v/>
      </c>
      <c r="I295" s="12">
        <f>IF($AE295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-291+0.5)/3.5))))</f>
        <v/>
      </c>
      <c r="J295" s="12">
        <f>IF($AE295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-291+0.5)/3.5))))</f>
        <v/>
      </c>
      <c r="K295" s="13">
        <f>IF($AE295="","",IFERROR(INDEX(Players!$U$2:$U$301,$AE295),""))</f>
        <v/>
      </c>
      <c r="L295" s="13">
        <f>IF($AE295="","",IFERROR(INDEX(Players!$X$2:$X$301,$AE295),""))</f>
        <v/>
      </c>
      <c r="M295" s="14">
        <f>IF($AE295="","",IFERROR(INDEX(Players!$K$2:$K$301,$AE295),""))</f>
        <v/>
      </c>
      <c r="N295" s="14">
        <f>IF($AE295="","",IFERROR(INDEX(Players!$H$2:$H$301,$AE295),""))</f>
        <v/>
      </c>
      <c r="O295" s="15">
        <f>IF($AE295="","",IFERROR(INDEX(Players!$G$2:$G$301,$AE295),""))</f>
        <v/>
      </c>
      <c r="P295" s="14">
        <f>IF($AE295="","",IFERROR(INDEX(Players!$I$2:$I$301,$AE295),""))</f>
        <v/>
      </c>
      <c r="Q295" s="14">
        <f>IF($AE295="","",IFERROR(INDEX(Players!$F$2:$F$301,$AE295),""))</f>
        <v/>
      </c>
      <c r="R295" s="14">
        <f>IF($AE295="","",IFERROR(INDEX(Players!$J$2:$J$301,$AE295),""))</f>
        <v/>
      </c>
      <c r="S295" s="15">
        <f>IF($AE295="","",IFERROR(INDEX(Players!$L$2:$L$301,$AE295),""))</f>
        <v/>
      </c>
      <c r="T295" s="14">
        <f>IF($AE295="","",IFERROR(INDEX(Players!$M$2:$M$301,$AE295),""))</f>
        <v/>
      </c>
      <c r="U295" s="14">
        <f>IF($AE295="","",IFERROR(INDEX(Players!$N$2:$N$301,$AE295),""))</f>
        <v/>
      </c>
      <c r="V295" s="14">
        <f>IF($AE295="","",IFERROR(INDEX(Players!$O$2:$O$301,$AE295),""))</f>
        <v/>
      </c>
      <c r="W295" s="14">
        <f>IF($AE295="","",IFERROR(INDEX(Players!$P$2:$P$301,$AE295),""))</f>
        <v/>
      </c>
      <c r="X295" s="14">
        <f>IF($AE295="","",IFERROR(INDEX(Players!$Q$2:$Q$301,$AE295),""))</f>
        <v/>
      </c>
      <c r="Y295" s="14">
        <f>IF($AE295="","",IFERROR(INDEX(Players!$R$2:$R$301,$AE295),""))</f>
        <v/>
      </c>
      <c r="AE295">
        <f>IFERROR(MATCH(LARGE(Players!$V$2:$V$301,291),Players!$V$2:$V$301,0),"")</f>
        <v/>
      </c>
    </row>
    <row r="296">
      <c r="E296" s="9" t="n">
        <v>292</v>
      </c>
      <c r="F296">
        <f>IF($AE296="","",IFERROR(INDEX(Players!$B$2:$B$301,$AE296),""))</f>
        <v/>
      </c>
      <c r="G296">
        <f>IF($AE296="","",IFERROR(INDEX(Players!$D$2:$D$301,$AE296),""))</f>
        <v/>
      </c>
      <c r="H296">
        <f>IF($AE296="","",IFERROR(INDEX(Players!$C$2:$C$301,$AE296),""))</f>
        <v/>
      </c>
      <c r="I296" s="12">
        <f>IF($AE296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-292+0.5)/3.5))))</f>
        <v/>
      </c>
      <c r="J296" s="12">
        <f>IF($AE296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-292+0.5)/3.5))))</f>
        <v/>
      </c>
      <c r="K296" s="13">
        <f>IF($AE296="","",IFERROR(INDEX(Players!$U$2:$U$301,$AE296),""))</f>
        <v/>
      </c>
      <c r="L296" s="13">
        <f>IF($AE296="","",IFERROR(INDEX(Players!$X$2:$X$301,$AE296),""))</f>
        <v/>
      </c>
      <c r="M296" s="14">
        <f>IF($AE296="","",IFERROR(INDEX(Players!$K$2:$K$301,$AE296),""))</f>
        <v/>
      </c>
      <c r="N296" s="14">
        <f>IF($AE296="","",IFERROR(INDEX(Players!$H$2:$H$301,$AE296),""))</f>
        <v/>
      </c>
      <c r="O296" s="15">
        <f>IF($AE296="","",IFERROR(INDEX(Players!$G$2:$G$301,$AE296),""))</f>
        <v/>
      </c>
      <c r="P296" s="14">
        <f>IF($AE296="","",IFERROR(INDEX(Players!$I$2:$I$301,$AE296),""))</f>
        <v/>
      </c>
      <c r="Q296" s="14">
        <f>IF($AE296="","",IFERROR(INDEX(Players!$F$2:$F$301,$AE296),""))</f>
        <v/>
      </c>
      <c r="R296" s="14">
        <f>IF($AE296="","",IFERROR(INDEX(Players!$J$2:$J$301,$AE296),""))</f>
        <v/>
      </c>
      <c r="S296" s="15">
        <f>IF($AE296="","",IFERROR(INDEX(Players!$L$2:$L$301,$AE296),""))</f>
        <v/>
      </c>
      <c r="T296" s="14">
        <f>IF($AE296="","",IFERROR(INDEX(Players!$M$2:$M$301,$AE296),""))</f>
        <v/>
      </c>
      <c r="U296" s="14">
        <f>IF($AE296="","",IFERROR(INDEX(Players!$N$2:$N$301,$AE296),""))</f>
        <v/>
      </c>
      <c r="V296" s="14">
        <f>IF($AE296="","",IFERROR(INDEX(Players!$O$2:$O$301,$AE296),""))</f>
        <v/>
      </c>
      <c r="W296" s="14">
        <f>IF($AE296="","",IFERROR(INDEX(Players!$P$2:$P$301,$AE296),""))</f>
        <v/>
      </c>
      <c r="X296" s="14">
        <f>IF($AE296="","",IFERROR(INDEX(Players!$Q$2:$Q$301,$AE296),""))</f>
        <v/>
      </c>
      <c r="Y296" s="14">
        <f>IF($AE296="","",IFERROR(INDEX(Players!$R$2:$R$301,$AE296),""))</f>
        <v/>
      </c>
      <c r="AE296">
        <f>IFERROR(MATCH(LARGE(Players!$V$2:$V$301,292),Players!$V$2:$V$301,0),"")</f>
        <v/>
      </c>
    </row>
    <row r="297">
      <c r="E297" s="9" t="n">
        <v>293</v>
      </c>
      <c r="F297">
        <f>IF($AE297="","",IFERROR(INDEX(Players!$B$2:$B$301,$AE297),""))</f>
        <v/>
      </c>
      <c r="G297">
        <f>IF($AE297="","",IFERROR(INDEX(Players!$D$2:$D$301,$AE297),""))</f>
        <v/>
      </c>
      <c r="H297">
        <f>IF($AE297="","",IFERROR(INDEX(Players!$C$2:$C$301,$AE297),""))</f>
        <v/>
      </c>
      <c r="I297" s="12">
        <f>IF($AE297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-293+0.5)/3.5))))</f>
        <v/>
      </c>
      <c r="J297" s="12">
        <f>IF($AE297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-293+0.5)/3.5))))</f>
        <v/>
      </c>
      <c r="K297" s="13">
        <f>IF($AE297="","",IFERROR(INDEX(Players!$U$2:$U$301,$AE297),""))</f>
        <v/>
      </c>
      <c r="L297" s="13">
        <f>IF($AE297="","",IFERROR(INDEX(Players!$X$2:$X$301,$AE297),""))</f>
        <v/>
      </c>
      <c r="M297" s="14">
        <f>IF($AE297="","",IFERROR(INDEX(Players!$K$2:$K$301,$AE297),""))</f>
        <v/>
      </c>
      <c r="N297" s="14">
        <f>IF($AE297="","",IFERROR(INDEX(Players!$H$2:$H$301,$AE297),""))</f>
        <v/>
      </c>
      <c r="O297" s="15">
        <f>IF($AE297="","",IFERROR(INDEX(Players!$G$2:$G$301,$AE297),""))</f>
        <v/>
      </c>
      <c r="P297" s="14">
        <f>IF($AE297="","",IFERROR(INDEX(Players!$I$2:$I$301,$AE297),""))</f>
        <v/>
      </c>
      <c r="Q297" s="14">
        <f>IF($AE297="","",IFERROR(INDEX(Players!$F$2:$F$301,$AE297),""))</f>
        <v/>
      </c>
      <c r="R297" s="14">
        <f>IF($AE297="","",IFERROR(INDEX(Players!$J$2:$J$301,$AE297),""))</f>
        <v/>
      </c>
      <c r="S297" s="15">
        <f>IF($AE297="","",IFERROR(INDEX(Players!$L$2:$L$301,$AE297),""))</f>
        <v/>
      </c>
      <c r="T297" s="14">
        <f>IF($AE297="","",IFERROR(INDEX(Players!$M$2:$M$301,$AE297),""))</f>
        <v/>
      </c>
      <c r="U297" s="14">
        <f>IF($AE297="","",IFERROR(INDEX(Players!$N$2:$N$301,$AE297),""))</f>
        <v/>
      </c>
      <c r="V297" s="14">
        <f>IF($AE297="","",IFERROR(INDEX(Players!$O$2:$O$301,$AE297),""))</f>
        <v/>
      </c>
      <c r="W297" s="14">
        <f>IF($AE297="","",IFERROR(INDEX(Players!$P$2:$P$301,$AE297),""))</f>
        <v/>
      </c>
      <c r="X297" s="14">
        <f>IF($AE297="","",IFERROR(INDEX(Players!$Q$2:$Q$301,$AE297),""))</f>
        <v/>
      </c>
      <c r="Y297" s="14">
        <f>IF($AE297="","",IFERROR(INDEX(Players!$R$2:$R$301,$AE297),""))</f>
        <v/>
      </c>
      <c r="AE297">
        <f>IFERROR(MATCH(LARGE(Players!$V$2:$V$301,293),Players!$V$2:$V$301,0),"")</f>
        <v/>
      </c>
    </row>
    <row r="298">
      <c r="E298" s="9" t="n">
        <v>294</v>
      </c>
      <c r="F298">
        <f>IF($AE298="","",IFERROR(INDEX(Players!$B$2:$B$301,$AE298),""))</f>
        <v/>
      </c>
      <c r="G298">
        <f>IF($AE298="","",IFERROR(INDEX(Players!$D$2:$D$301,$AE298),""))</f>
        <v/>
      </c>
      <c r="H298">
        <f>IF($AE298="","",IFERROR(INDEX(Players!$C$2:$C$301,$AE298),""))</f>
        <v/>
      </c>
      <c r="I298" s="12">
        <f>IF($AE298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-294+0.5)/3.5))))</f>
        <v/>
      </c>
      <c r="J298" s="12">
        <f>IF($AE298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-294+0.5)/3.5))))</f>
        <v/>
      </c>
      <c r="K298" s="13">
        <f>IF($AE298="","",IFERROR(INDEX(Players!$U$2:$U$301,$AE298),""))</f>
        <v/>
      </c>
      <c r="L298" s="13">
        <f>IF($AE298="","",IFERROR(INDEX(Players!$X$2:$X$301,$AE298),""))</f>
        <v/>
      </c>
      <c r="M298" s="14">
        <f>IF($AE298="","",IFERROR(INDEX(Players!$K$2:$K$301,$AE298),""))</f>
        <v/>
      </c>
      <c r="N298" s="14">
        <f>IF($AE298="","",IFERROR(INDEX(Players!$H$2:$H$301,$AE298),""))</f>
        <v/>
      </c>
      <c r="O298" s="15">
        <f>IF($AE298="","",IFERROR(INDEX(Players!$G$2:$G$301,$AE298),""))</f>
        <v/>
      </c>
      <c r="P298" s="14">
        <f>IF($AE298="","",IFERROR(INDEX(Players!$I$2:$I$301,$AE298),""))</f>
        <v/>
      </c>
      <c r="Q298" s="14">
        <f>IF($AE298="","",IFERROR(INDEX(Players!$F$2:$F$301,$AE298),""))</f>
        <v/>
      </c>
      <c r="R298" s="14">
        <f>IF($AE298="","",IFERROR(INDEX(Players!$J$2:$J$301,$AE298),""))</f>
        <v/>
      </c>
      <c r="S298" s="15">
        <f>IF($AE298="","",IFERROR(INDEX(Players!$L$2:$L$301,$AE298),""))</f>
        <v/>
      </c>
      <c r="T298" s="14">
        <f>IF($AE298="","",IFERROR(INDEX(Players!$M$2:$M$301,$AE298),""))</f>
        <v/>
      </c>
      <c r="U298" s="14">
        <f>IF($AE298="","",IFERROR(INDEX(Players!$N$2:$N$301,$AE298),""))</f>
        <v/>
      </c>
      <c r="V298" s="14">
        <f>IF($AE298="","",IFERROR(INDEX(Players!$O$2:$O$301,$AE298),""))</f>
        <v/>
      </c>
      <c r="W298" s="14">
        <f>IF($AE298="","",IFERROR(INDEX(Players!$P$2:$P$301,$AE298),""))</f>
        <v/>
      </c>
      <c r="X298" s="14">
        <f>IF($AE298="","",IFERROR(INDEX(Players!$Q$2:$Q$301,$AE298),""))</f>
        <v/>
      </c>
      <c r="Y298" s="14">
        <f>IF($AE298="","",IFERROR(INDEX(Players!$R$2:$R$301,$AE298),""))</f>
        <v/>
      </c>
      <c r="AE298">
        <f>IFERROR(MATCH(LARGE(Players!$V$2:$V$301,294),Players!$V$2:$V$301,0),"")</f>
        <v/>
      </c>
    </row>
    <row r="299">
      <c r="E299" s="9" t="n">
        <v>295</v>
      </c>
      <c r="F299">
        <f>IF($AE299="","",IFERROR(INDEX(Players!$B$2:$B$301,$AE299),""))</f>
        <v/>
      </c>
      <c r="G299">
        <f>IF($AE299="","",IFERROR(INDEX(Players!$D$2:$D$301,$AE299),""))</f>
        <v/>
      </c>
      <c r="H299">
        <f>IF($AE299="","",IFERROR(INDEX(Players!$C$2:$C$301,$AE299),""))</f>
        <v/>
      </c>
      <c r="I299" s="12">
        <f>IF($AE299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-295+0.5)/3.5))))</f>
        <v/>
      </c>
      <c r="J299" s="12">
        <f>IF($AE299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-295+0.5)/3.5))))</f>
        <v/>
      </c>
      <c r="K299" s="13">
        <f>IF($AE299="","",IFERROR(INDEX(Players!$U$2:$U$301,$AE299),""))</f>
        <v/>
      </c>
      <c r="L299" s="13">
        <f>IF($AE299="","",IFERROR(INDEX(Players!$X$2:$X$301,$AE299),""))</f>
        <v/>
      </c>
      <c r="M299" s="14">
        <f>IF($AE299="","",IFERROR(INDEX(Players!$K$2:$K$301,$AE299),""))</f>
        <v/>
      </c>
      <c r="N299" s="14">
        <f>IF($AE299="","",IFERROR(INDEX(Players!$H$2:$H$301,$AE299),""))</f>
        <v/>
      </c>
      <c r="O299" s="15">
        <f>IF($AE299="","",IFERROR(INDEX(Players!$G$2:$G$301,$AE299),""))</f>
        <v/>
      </c>
      <c r="P299" s="14">
        <f>IF($AE299="","",IFERROR(INDEX(Players!$I$2:$I$301,$AE299),""))</f>
        <v/>
      </c>
      <c r="Q299" s="14">
        <f>IF($AE299="","",IFERROR(INDEX(Players!$F$2:$F$301,$AE299),""))</f>
        <v/>
      </c>
      <c r="R299" s="14">
        <f>IF($AE299="","",IFERROR(INDEX(Players!$J$2:$J$301,$AE299),""))</f>
        <v/>
      </c>
      <c r="S299" s="15">
        <f>IF($AE299="","",IFERROR(INDEX(Players!$L$2:$L$301,$AE299),""))</f>
        <v/>
      </c>
      <c r="T299" s="14">
        <f>IF($AE299="","",IFERROR(INDEX(Players!$M$2:$M$301,$AE299),""))</f>
        <v/>
      </c>
      <c r="U299" s="14">
        <f>IF($AE299="","",IFERROR(INDEX(Players!$N$2:$N$301,$AE299),""))</f>
        <v/>
      </c>
      <c r="V299" s="14">
        <f>IF($AE299="","",IFERROR(INDEX(Players!$O$2:$O$301,$AE299),""))</f>
        <v/>
      </c>
      <c r="W299" s="14">
        <f>IF($AE299="","",IFERROR(INDEX(Players!$P$2:$P$301,$AE299),""))</f>
        <v/>
      </c>
      <c r="X299" s="14">
        <f>IF($AE299="","",IFERROR(INDEX(Players!$Q$2:$Q$301,$AE299),""))</f>
        <v/>
      </c>
      <c r="Y299" s="14">
        <f>IF($AE299="","",IFERROR(INDEX(Players!$R$2:$R$301,$AE299),""))</f>
        <v/>
      </c>
      <c r="AE299">
        <f>IFERROR(MATCH(LARGE(Players!$V$2:$V$301,295),Players!$V$2:$V$301,0),"")</f>
        <v/>
      </c>
    </row>
    <row r="300">
      <c r="E300" s="9" t="n">
        <v>296</v>
      </c>
      <c r="F300">
        <f>IF($AE300="","",IFERROR(INDEX(Players!$B$2:$B$301,$AE300),""))</f>
        <v/>
      </c>
      <c r="G300">
        <f>IF($AE300="","",IFERROR(INDEX(Players!$D$2:$D$301,$AE300),""))</f>
        <v/>
      </c>
      <c r="H300">
        <f>IF($AE300="","",IFERROR(INDEX(Players!$C$2:$C$301,$AE300),""))</f>
        <v/>
      </c>
      <c r="I300" s="12">
        <f>IF($AE300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-296+0.5)/3.5))))</f>
        <v/>
      </c>
      <c r="J300" s="12">
        <f>IF($AE300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-296+0.5)/3.5))))</f>
        <v/>
      </c>
      <c r="K300" s="13">
        <f>IF($AE300="","",IFERROR(INDEX(Players!$U$2:$U$301,$AE300),""))</f>
        <v/>
      </c>
      <c r="L300" s="13">
        <f>IF($AE300="","",IFERROR(INDEX(Players!$X$2:$X$301,$AE300),""))</f>
        <v/>
      </c>
      <c r="M300" s="14">
        <f>IF($AE300="","",IFERROR(INDEX(Players!$K$2:$K$301,$AE300),""))</f>
        <v/>
      </c>
      <c r="N300" s="14">
        <f>IF($AE300="","",IFERROR(INDEX(Players!$H$2:$H$301,$AE300),""))</f>
        <v/>
      </c>
      <c r="O300" s="15">
        <f>IF($AE300="","",IFERROR(INDEX(Players!$G$2:$G$301,$AE300),""))</f>
        <v/>
      </c>
      <c r="P300" s="14">
        <f>IF($AE300="","",IFERROR(INDEX(Players!$I$2:$I$301,$AE300),""))</f>
        <v/>
      </c>
      <c r="Q300" s="14">
        <f>IF($AE300="","",IFERROR(INDEX(Players!$F$2:$F$301,$AE300),""))</f>
        <v/>
      </c>
      <c r="R300" s="14">
        <f>IF($AE300="","",IFERROR(INDEX(Players!$J$2:$J$301,$AE300),""))</f>
        <v/>
      </c>
      <c r="S300" s="15">
        <f>IF($AE300="","",IFERROR(INDEX(Players!$L$2:$L$301,$AE300),""))</f>
        <v/>
      </c>
      <c r="T300" s="14">
        <f>IF($AE300="","",IFERROR(INDEX(Players!$M$2:$M$301,$AE300),""))</f>
        <v/>
      </c>
      <c r="U300" s="14">
        <f>IF($AE300="","",IFERROR(INDEX(Players!$N$2:$N$301,$AE300),""))</f>
        <v/>
      </c>
      <c r="V300" s="14">
        <f>IF($AE300="","",IFERROR(INDEX(Players!$O$2:$O$301,$AE300),""))</f>
        <v/>
      </c>
      <c r="W300" s="14">
        <f>IF($AE300="","",IFERROR(INDEX(Players!$P$2:$P$301,$AE300),""))</f>
        <v/>
      </c>
      <c r="X300" s="14">
        <f>IF($AE300="","",IFERROR(INDEX(Players!$Q$2:$Q$301,$AE300),""))</f>
        <v/>
      </c>
      <c r="Y300" s="14">
        <f>IF($AE300="","",IFERROR(INDEX(Players!$R$2:$R$301,$AE300),""))</f>
        <v/>
      </c>
      <c r="AE300">
        <f>IFERROR(MATCH(LARGE(Players!$V$2:$V$301,296),Players!$V$2:$V$301,0),"")</f>
        <v/>
      </c>
    </row>
    <row r="301">
      <c r="E301" s="9" t="n">
        <v>297</v>
      </c>
      <c r="F301">
        <f>IF($AE301="","",IFERROR(INDEX(Players!$B$2:$B$301,$AE301),""))</f>
        <v/>
      </c>
      <c r="G301">
        <f>IF($AE301="","",IFERROR(INDEX(Players!$D$2:$D$301,$AE301),""))</f>
        <v/>
      </c>
      <c r="H301">
        <f>IF($AE301="","",IFERROR(INDEX(Players!$C$2:$C$301,$AE301),""))</f>
        <v/>
      </c>
      <c r="I301" s="12">
        <f>IF($AE301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-297+0.5)/3.5))))</f>
        <v/>
      </c>
      <c r="J301" s="12">
        <f>IF($AE301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-297+0.5)/3.5))))</f>
        <v/>
      </c>
      <c r="K301" s="13">
        <f>IF($AE301="","",IFERROR(INDEX(Players!$U$2:$U$301,$AE301),""))</f>
        <v/>
      </c>
      <c r="L301" s="13">
        <f>IF($AE301="","",IFERROR(INDEX(Players!$X$2:$X$301,$AE301),""))</f>
        <v/>
      </c>
      <c r="M301" s="14">
        <f>IF($AE301="","",IFERROR(INDEX(Players!$K$2:$K$301,$AE301),""))</f>
        <v/>
      </c>
      <c r="N301" s="14">
        <f>IF($AE301="","",IFERROR(INDEX(Players!$H$2:$H$301,$AE301),""))</f>
        <v/>
      </c>
      <c r="O301" s="15">
        <f>IF($AE301="","",IFERROR(INDEX(Players!$G$2:$G$301,$AE301),""))</f>
        <v/>
      </c>
      <c r="P301" s="14">
        <f>IF($AE301="","",IFERROR(INDEX(Players!$I$2:$I$301,$AE301),""))</f>
        <v/>
      </c>
      <c r="Q301" s="14">
        <f>IF($AE301="","",IFERROR(INDEX(Players!$F$2:$F$301,$AE301),""))</f>
        <v/>
      </c>
      <c r="R301" s="14">
        <f>IF($AE301="","",IFERROR(INDEX(Players!$J$2:$J$301,$AE301),""))</f>
        <v/>
      </c>
      <c r="S301" s="15">
        <f>IF($AE301="","",IFERROR(INDEX(Players!$L$2:$L$301,$AE301),""))</f>
        <v/>
      </c>
      <c r="T301" s="14">
        <f>IF($AE301="","",IFERROR(INDEX(Players!$M$2:$M$301,$AE301),""))</f>
        <v/>
      </c>
      <c r="U301" s="14">
        <f>IF($AE301="","",IFERROR(INDEX(Players!$N$2:$N$301,$AE301),""))</f>
        <v/>
      </c>
      <c r="V301" s="14">
        <f>IF($AE301="","",IFERROR(INDEX(Players!$O$2:$O$301,$AE301),""))</f>
        <v/>
      </c>
      <c r="W301" s="14">
        <f>IF($AE301="","",IFERROR(INDEX(Players!$P$2:$P$301,$AE301),""))</f>
        <v/>
      </c>
      <c r="X301" s="14">
        <f>IF($AE301="","",IFERROR(INDEX(Players!$Q$2:$Q$301,$AE301),""))</f>
        <v/>
      </c>
      <c r="Y301" s="14">
        <f>IF($AE301="","",IFERROR(INDEX(Players!$R$2:$R$301,$AE301),""))</f>
        <v/>
      </c>
      <c r="AE301">
        <f>IFERROR(MATCH(LARGE(Players!$V$2:$V$301,297),Players!$V$2:$V$301,0),"")</f>
        <v/>
      </c>
    </row>
    <row r="302">
      <c r="E302" s="9" t="n">
        <v>298</v>
      </c>
      <c r="F302">
        <f>IF($AE302="","",IFERROR(INDEX(Players!$B$2:$B$301,$AE302),""))</f>
        <v/>
      </c>
      <c r="G302">
        <f>IF($AE302="","",IFERROR(INDEX(Players!$D$2:$D$301,$AE302),""))</f>
        <v/>
      </c>
      <c r="H302">
        <f>IF($AE302="","",IFERROR(INDEX(Players!$C$2:$C$301,$AE302),""))</f>
        <v/>
      </c>
      <c r="I302" s="12">
        <f>IF($AE302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-298+0.5)/3.5))))</f>
        <v/>
      </c>
      <c r="J302" s="12">
        <f>IF($AE302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-298+0.5)/3.5))))</f>
        <v/>
      </c>
      <c r="K302" s="13">
        <f>IF($AE302="","",IFERROR(INDEX(Players!$U$2:$U$301,$AE302),""))</f>
        <v/>
      </c>
      <c r="L302" s="13">
        <f>IF($AE302="","",IFERROR(INDEX(Players!$X$2:$X$301,$AE302),""))</f>
        <v/>
      </c>
      <c r="M302" s="14">
        <f>IF($AE302="","",IFERROR(INDEX(Players!$K$2:$K$301,$AE302),""))</f>
        <v/>
      </c>
      <c r="N302" s="14">
        <f>IF($AE302="","",IFERROR(INDEX(Players!$H$2:$H$301,$AE302),""))</f>
        <v/>
      </c>
      <c r="O302" s="15">
        <f>IF($AE302="","",IFERROR(INDEX(Players!$G$2:$G$301,$AE302),""))</f>
        <v/>
      </c>
      <c r="P302" s="14">
        <f>IF($AE302="","",IFERROR(INDEX(Players!$I$2:$I$301,$AE302),""))</f>
        <v/>
      </c>
      <c r="Q302" s="14">
        <f>IF($AE302="","",IFERROR(INDEX(Players!$F$2:$F$301,$AE302),""))</f>
        <v/>
      </c>
      <c r="R302" s="14">
        <f>IF($AE302="","",IFERROR(INDEX(Players!$J$2:$J$301,$AE302),""))</f>
        <v/>
      </c>
      <c r="S302" s="15">
        <f>IF($AE302="","",IFERROR(INDEX(Players!$L$2:$L$301,$AE302),""))</f>
        <v/>
      </c>
      <c r="T302" s="14">
        <f>IF($AE302="","",IFERROR(INDEX(Players!$M$2:$M$301,$AE302),""))</f>
        <v/>
      </c>
      <c r="U302" s="14">
        <f>IF($AE302="","",IFERROR(INDEX(Players!$N$2:$N$301,$AE302),""))</f>
        <v/>
      </c>
      <c r="V302" s="14">
        <f>IF($AE302="","",IFERROR(INDEX(Players!$O$2:$O$301,$AE302),""))</f>
        <v/>
      </c>
      <c r="W302" s="14">
        <f>IF($AE302="","",IFERROR(INDEX(Players!$P$2:$P$301,$AE302),""))</f>
        <v/>
      </c>
      <c r="X302" s="14">
        <f>IF($AE302="","",IFERROR(INDEX(Players!$Q$2:$Q$301,$AE302),""))</f>
        <v/>
      </c>
      <c r="Y302" s="14">
        <f>IF($AE302="","",IFERROR(INDEX(Players!$R$2:$R$301,$AE302),""))</f>
        <v/>
      </c>
      <c r="AE302">
        <f>IFERROR(MATCH(LARGE(Players!$V$2:$V$301,298),Players!$V$2:$V$301,0),"")</f>
        <v/>
      </c>
    </row>
    <row r="303">
      <c r="E303" s="9" t="n">
        <v>299</v>
      </c>
      <c r="F303">
        <f>IF($AE303="","",IFERROR(INDEX(Players!$B$2:$B$301,$AE303),""))</f>
        <v/>
      </c>
      <c r="G303">
        <f>IF($AE303="","",IFERROR(INDEX(Players!$D$2:$D$301,$AE303),""))</f>
        <v/>
      </c>
      <c r="H303">
        <f>IF($AE303="","",IFERROR(INDEX(Players!$C$2:$C$301,$AE303),""))</f>
        <v/>
      </c>
      <c r="I303" s="12">
        <f>IF($AE303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-299+0.5)/3.5))))</f>
        <v/>
      </c>
      <c r="J303" s="12">
        <f>IF($AE303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-299+0.5)/3.5))))</f>
        <v/>
      </c>
      <c r="K303" s="13">
        <f>IF($AE303="","",IFERROR(INDEX(Players!$U$2:$U$301,$AE303),""))</f>
        <v/>
      </c>
      <c r="L303" s="13">
        <f>IF($AE303="","",IFERROR(INDEX(Players!$X$2:$X$301,$AE303),""))</f>
        <v/>
      </c>
      <c r="M303" s="14">
        <f>IF($AE303="","",IFERROR(INDEX(Players!$K$2:$K$301,$AE303),""))</f>
        <v/>
      </c>
      <c r="N303" s="14">
        <f>IF($AE303="","",IFERROR(INDEX(Players!$H$2:$H$301,$AE303),""))</f>
        <v/>
      </c>
      <c r="O303" s="15">
        <f>IF($AE303="","",IFERROR(INDEX(Players!$G$2:$G$301,$AE303),""))</f>
        <v/>
      </c>
      <c r="P303" s="14">
        <f>IF($AE303="","",IFERROR(INDEX(Players!$I$2:$I$301,$AE303),""))</f>
        <v/>
      </c>
      <c r="Q303" s="14">
        <f>IF($AE303="","",IFERROR(INDEX(Players!$F$2:$F$301,$AE303),""))</f>
        <v/>
      </c>
      <c r="R303" s="14">
        <f>IF($AE303="","",IFERROR(INDEX(Players!$J$2:$J$301,$AE303),""))</f>
        <v/>
      </c>
      <c r="S303" s="15">
        <f>IF($AE303="","",IFERROR(INDEX(Players!$L$2:$L$301,$AE303),""))</f>
        <v/>
      </c>
      <c r="T303" s="14">
        <f>IF($AE303="","",IFERROR(INDEX(Players!$M$2:$M$301,$AE303),""))</f>
        <v/>
      </c>
      <c r="U303" s="14">
        <f>IF($AE303="","",IFERROR(INDEX(Players!$N$2:$N$301,$AE303),""))</f>
        <v/>
      </c>
      <c r="V303" s="14">
        <f>IF($AE303="","",IFERROR(INDEX(Players!$O$2:$O$301,$AE303),""))</f>
        <v/>
      </c>
      <c r="W303" s="14">
        <f>IF($AE303="","",IFERROR(INDEX(Players!$P$2:$P$301,$AE303),""))</f>
        <v/>
      </c>
      <c r="X303" s="14">
        <f>IF($AE303="","",IFERROR(INDEX(Players!$Q$2:$Q$301,$AE303),""))</f>
        <v/>
      </c>
      <c r="Y303" s="14">
        <f>IF($AE303="","",IFERROR(INDEX(Players!$R$2:$R$301,$AE303),""))</f>
        <v/>
      </c>
      <c r="AE303">
        <f>IFERROR(MATCH(LARGE(Players!$V$2:$V$301,299),Players!$V$2:$V$301,0),"")</f>
        <v/>
      </c>
    </row>
    <row r="304">
      <c r="E304" s="9" t="n">
        <v>300</v>
      </c>
      <c r="F304">
        <f>IF($AE304="","",IFERROR(INDEX(Players!$B$2:$B$301,$AE304),""))</f>
        <v/>
      </c>
      <c r="G304">
        <f>IF($AE304="","",IFERROR(INDEX(Players!$D$2:$D$301,$AE304),""))</f>
        <v/>
      </c>
      <c r="H304">
        <f>IF($AE304="","",IFERROR(INDEX(Players!$C$2:$C$301,$AE304),""))</f>
        <v/>
      </c>
      <c r="I304" s="12">
        <f>IF($AE304="","",IF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&lt;=0,1,1/(1+EXP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)-300+0.5)/3.5))))</f>
        <v/>
      </c>
      <c r="J304" s="12">
        <f>IF($AE304="","",IF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&lt;=0,1,1/(1+EXP((((IF(MOD(INT(COUNTA(Draft!$C$5:$C$196)/12)+1,2)=1,IF(1&gt;=IF(MOD(INT(COUNTA(Draft!$C$5:$C$196)/12)+1,2)=1,MOD(COUNTA(Draft!$C$5:$C$196),12)+1,12-MOD(COUNTA(Draft!$C$5:$C$196),12)+1+1),1-IF(MOD(INT(COUNTA(Draft!$C$5:$C$196)/12)+1,2)=1,MOD(COUNTA(Draft!$C$5:$C$196),12)+1,12-MOD(COUNTA(Draft!$C$5:$C$196),12)+1+1),12*2-IF(MOD(INT(COUNTA(Draft!$C$5:$C$196)/12)+1,2)=1,MOD(COUNTA(Draft!$C$5:$C$196),12)+1,12-MOD(COUNTA(Draft!$C$5:$C$196),12)+1+1)-1+1),IF(12-1+1&gt;=IF(MOD(INT(COUNTA(Draft!$C$5:$C$196)/12)+1,2)=1,MOD(COUNTA(Draft!$C$5:$C$196),12)+1,12-MOD(COUNTA(Draft!$C$5:$C$196),12)+1+1),12-1+1-IF(MOD(INT(COUNTA(Draft!$C$5:$C$196)/12)+1,2)=1,MOD(COUNTA(Draft!$C$5:$C$196),12)+1,12-MOD(COUNTA(Draft!$C$5:$C$196),12)+1+1),12*2-IF(MOD(INT(COUNTA(Draft!$C$5:$C$196)/12)+1,2)=1,MOD(COUNTA(Draft!$C$5:$C$196),12)+1,12-MOD(COUNTA(Draft!$C$5:$C$196),12)+1+1)-(12-1+1)+1))+IF(MOD(INT(COUNTA(Draft!$C$5:$C$196)/12)+1,2)=1,2*(12-1)+1,2*1-1)))-300+0.5)/3.5))))</f>
        <v/>
      </c>
      <c r="K304" s="13">
        <f>IF($AE304="","",IFERROR(INDEX(Players!$U$2:$U$301,$AE304),""))</f>
        <v/>
      </c>
      <c r="L304" s="13">
        <f>IF($AE304="","",IFERROR(INDEX(Players!$X$2:$X$301,$AE304),""))</f>
        <v/>
      </c>
      <c r="M304" s="14">
        <f>IF($AE304="","",IFERROR(INDEX(Players!$K$2:$K$301,$AE304),""))</f>
        <v/>
      </c>
      <c r="N304" s="14">
        <f>IF($AE304="","",IFERROR(INDEX(Players!$H$2:$H$301,$AE304),""))</f>
        <v/>
      </c>
      <c r="O304" s="15">
        <f>IF($AE304="","",IFERROR(INDEX(Players!$G$2:$G$301,$AE304),""))</f>
        <v/>
      </c>
      <c r="P304" s="14">
        <f>IF($AE304="","",IFERROR(INDEX(Players!$I$2:$I$301,$AE304),""))</f>
        <v/>
      </c>
      <c r="Q304" s="14">
        <f>IF($AE304="","",IFERROR(INDEX(Players!$F$2:$F$301,$AE304),""))</f>
        <v/>
      </c>
      <c r="R304" s="14">
        <f>IF($AE304="","",IFERROR(INDEX(Players!$J$2:$J$301,$AE304),""))</f>
        <v/>
      </c>
      <c r="S304" s="15">
        <f>IF($AE304="","",IFERROR(INDEX(Players!$L$2:$L$301,$AE304),""))</f>
        <v/>
      </c>
      <c r="T304" s="14">
        <f>IF($AE304="","",IFERROR(INDEX(Players!$M$2:$M$301,$AE304),""))</f>
        <v/>
      </c>
      <c r="U304" s="14">
        <f>IF($AE304="","",IFERROR(INDEX(Players!$N$2:$N$301,$AE304),""))</f>
        <v/>
      </c>
      <c r="V304" s="14">
        <f>IF($AE304="","",IFERROR(INDEX(Players!$O$2:$O$301,$AE304),""))</f>
        <v/>
      </c>
      <c r="W304" s="14">
        <f>IF($AE304="","",IFERROR(INDEX(Players!$P$2:$P$301,$AE304),""))</f>
        <v/>
      </c>
      <c r="X304" s="14">
        <f>IF($AE304="","",IFERROR(INDEX(Players!$Q$2:$Q$301,$AE304),""))</f>
        <v/>
      </c>
      <c r="Y304" s="14">
        <f>IF($AE304="","",IFERROR(INDEX(Players!$R$2:$R$301,$AE304),""))</f>
        <v/>
      </c>
      <c r="AE304">
        <f>IFERROR(MATCH(LARGE(Players!$V$2:$V$301,300),Players!$V$2:$V$301,0),"")</f>
        <v/>
      </c>
    </row>
  </sheetData>
  <conditionalFormatting sqref="A5:C196">
    <cfRule type="expression" priority="1" dxfId="0" stopIfTrue="0">
      <formula>ROW()=5+COUNTA(Draft!$C$5:$C$196)</formula>
    </cfRule>
  </conditionalFormatting>
  <conditionalFormatting sqref="I5:I304">
    <cfRule type="colorScale" priority="2">
      <colorScale>
        <cfvo type="percentile" val="5"/>
        <cfvo type="percentile" val="50"/>
        <cfvo type="percentile" val="95"/>
        <color rgb="FFF4C7C3"/>
        <color rgb="FFFDF6E3"/>
        <color rgb="FFB7D7A8"/>
      </colorScale>
    </cfRule>
  </conditionalFormatting>
  <conditionalFormatting sqref="J5:J304">
    <cfRule type="colorScale" priority="3">
      <colorScale>
        <cfvo type="percentile" val="5"/>
        <cfvo type="percentile" val="50"/>
        <cfvo type="percentile" val="95"/>
        <color rgb="FFF4C7C3"/>
        <color rgb="FFFDF6E3"/>
        <color rgb="FFB7D7A8"/>
      </colorScale>
    </cfRule>
  </conditionalFormatting>
  <conditionalFormatting sqref="K5:K304">
    <cfRule type="colorScale" priority="4">
      <colorScale>
        <cfvo type="percentile" val="5"/>
        <cfvo type="percentile" val="50"/>
        <cfvo type="percentile" val="95"/>
        <color rgb="FFF4C7C3"/>
        <color rgb="FFFDF6E3"/>
        <color rgb="FFB7D7A8"/>
      </colorScale>
    </cfRule>
  </conditionalFormatting>
  <conditionalFormatting sqref="L5:L304">
    <cfRule type="colorScale" priority="5">
      <colorScale>
        <cfvo type="percentile" val="5"/>
        <cfvo type="percentile" val="50"/>
        <cfvo type="percentile" val="95"/>
        <color rgb="FFF4C7C3"/>
        <color rgb="FFFDF6E3"/>
        <color rgb="FFB7D7A8"/>
      </colorScale>
    </cfRule>
  </conditionalFormatting>
  <conditionalFormatting sqref="M5:M304">
    <cfRule type="colorScale" priority="6">
      <colorScale>
        <cfvo type="percentile" val="5"/>
        <cfvo type="percentile" val="50"/>
        <cfvo type="percentile" val="95"/>
        <color rgb="FFF4C7C3"/>
        <color rgb="FFFDF6E3"/>
        <color rgb="FFB7D7A8"/>
      </colorScale>
    </cfRule>
  </conditionalFormatting>
  <conditionalFormatting sqref="N5:N304">
    <cfRule type="colorScale" priority="7">
      <colorScale>
        <cfvo type="percentile" val="5"/>
        <cfvo type="percentile" val="50"/>
        <cfvo type="percentile" val="95"/>
        <color rgb="FFF4C7C3"/>
        <color rgb="FFFDF6E3"/>
        <color rgb="FFB7D7A8"/>
      </colorScale>
    </cfRule>
  </conditionalFormatting>
  <conditionalFormatting sqref="O5:O304">
    <cfRule type="colorScale" priority="8">
      <colorScale>
        <cfvo type="percentile" val="5"/>
        <cfvo type="percentile" val="50"/>
        <cfvo type="percentile" val="95"/>
        <color rgb="FFF4C7C3"/>
        <color rgb="FFFDF6E3"/>
        <color rgb="FFB7D7A8"/>
      </colorScale>
    </cfRule>
  </conditionalFormatting>
  <conditionalFormatting sqref="S5:S304">
    <cfRule type="colorScale" priority="9">
      <colorScale>
        <cfvo type="percentile" val="5"/>
        <cfvo type="percentile" val="50"/>
        <cfvo type="percentile" val="95"/>
        <color rgb="FFF4C7C3"/>
        <color rgb="FFFDF6E3"/>
        <color rgb="FFB7D7A8"/>
      </colorScale>
    </cfRule>
  </conditionalFormatting>
  <conditionalFormatting sqref="T5:T304">
    <cfRule type="colorScale" priority="10">
      <colorScale>
        <cfvo type="percentile" val="5"/>
        <cfvo type="percentile" val="50"/>
        <cfvo type="percentile" val="95"/>
        <color rgb="FFF4C7C3"/>
        <color rgb="FFFDF6E3"/>
        <color rgb="FFB7D7A8"/>
      </colorScale>
    </cfRule>
  </conditionalFormatting>
  <conditionalFormatting sqref="U5:U304">
    <cfRule type="colorScale" priority="11">
      <colorScale>
        <cfvo type="percentile" val="5"/>
        <cfvo type="percentile" val="50"/>
        <cfvo type="percentile" val="95"/>
        <color rgb="FFF4C7C3"/>
        <color rgb="FFFDF6E3"/>
        <color rgb="FFB7D7A8"/>
      </colorScale>
    </cfRule>
  </conditionalFormatting>
  <conditionalFormatting sqref="V5:V304">
    <cfRule type="colorScale" priority="12">
      <colorScale>
        <cfvo type="percentile" val="5"/>
        <cfvo type="percentile" val="50"/>
        <cfvo type="percentile" val="95"/>
        <color rgb="FFF4C7C3"/>
        <color rgb="FFFDF6E3"/>
        <color rgb="FFB7D7A8"/>
      </colorScale>
    </cfRule>
  </conditionalFormatting>
  <conditionalFormatting sqref="W5:W304">
    <cfRule type="colorScale" priority="13">
      <colorScale>
        <cfvo type="percentile" val="5"/>
        <cfvo type="percentile" val="50"/>
        <cfvo type="percentile" val="95"/>
        <color rgb="FFF4C7C3"/>
        <color rgb="FFFDF6E3"/>
        <color rgb="FFB7D7A8"/>
      </colorScale>
    </cfRule>
  </conditionalFormatting>
  <conditionalFormatting sqref="X5:X304">
    <cfRule type="colorScale" priority="14">
      <colorScale>
        <cfvo type="percentile" val="5"/>
        <cfvo type="percentile" val="50"/>
        <cfvo type="percentile" val="95"/>
        <color rgb="FFF4C7C3"/>
        <color rgb="FFFDF6E3"/>
        <color rgb="FFB7D7A8"/>
      </colorScale>
    </cfRule>
  </conditionalFormatting>
  <conditionalFormatting sqref="Y5:Y304">
    <cfRule type="colorScale" priority="15">
      <colorScale>
        <cfvo type="percentile" val="5"/>
        <cfvo type="percentile" val="50"/>
        <cfvo type="percentile" val="95"/>
        <color rgb="FFF4C7C3"/>
        <color rgb="FFFDF6E3"/>
        <color rgb="FFB7D7A8"/>
      </colorScale>
    </cfRule>
  </conditionalFormatting>
  <conditionalFormatting sqref="P5:P304">
    <cfRule type="cellIs" priority="16" operator="equal" dxfId="1">
      <formula>1</formula>
    </cfRule>
    <cfRule type="cellIs" priority="17" operator="equal" dxfId="2">
      <formula>2</formula>
    </cfRule>
  </conditionalFormatting>
  <conditionalFormatting sqref="Q5:Q304">
    <cfRule type="cellIs" priority="18" operator="equal" dxfId="1">
      <formula>1</formula>
    </cfRule>
    <cfRule type="cellIs" priority="19" operator="equal" dxfId="2">
      <formula>2</formula>
    </cfRule>
  </conditionalFormatting>
  <conditionalFormatting sqref="R5:R304">
    <cfRule type="cellIs" priority="20" operator="equal" dxfId="1">
      <formula>1</formula>
    </cfRule>
    <cfRule type="cellIs" priority="21" operator="equal" dxfId="2">
      <formula>2</formula>
    </cfRule>
  </conditionalFormatting>
  <conditionalFormatting sqref="G5:G304">
    <cfRule type="expression" priority="22" dxfId="3" stopIfTrue="0">
      <formula>$G5="C"</formula>
    </cfRule>
    <cfRule type="expression" priority="23" dxfId="4" stopIfTrue="0">
      <formula>$G5="L"</formula>
    </cfRule>
    <cfRule type="expression" priority="24" dxfId="5" stopIfTrue="0">
      <formula>$G5="R"</formula>
    </cfRule>
    <cfRule type="expression" priority="25" dxfId="6" stopIfTrue="0">
      <formula>$G5="D"</formula>
    </cfRule>
    <cfRule type="expression" priority="26" dxfId="7" stopIfTrue="0">
      <formula>$G5="G"</formula>
    </cfRule>
  </conditionalFormatting>
  <conditionalFormatting sqref="AB5:AB21">
    <cfRule type="cellIs" priority="27" operator="lessThan" dxfId="8">
      <formula>4</formula>
    </cfRule>
  </conditionalFormatting>
  <dataValidations count="1">
    <dataValidation sqref="C5:C196" showDropDown="0" showInputMessage="0" showErrorMessage="0" allowBlank="1" type="list">
      <formula1>=Players!$B$2:$B$301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  <col width="18" customWidth="1" min="13" max="13"/>
  </cols>
  <sheetData>
    <row r="1">
      <c r="A1" s="16" t="inlineStr">
        <is>
          <t>Rd</t>
        </is>
      </c>
      <c r="B1" s="22" t="inlineStr">
        <is>
          <t>Team 1</t>
        </is>
      </c>
      <c r="C1" s="23" t="inlineStr">
        <is>
          <t>Team 2</t>
        </is>
      </c>
      <c r="D1" s="23" t="inlineStr">
        <is>
          <t>Team 3</t>
        </is>
      </c>
      <c r="E1" s="23" t="inlineStr">
        <is>
          <t>Team 4</t>
        </is>
      </c>
      <c r="F1" s="23" t="inlineStr">
        <is>
          <t>Team 5</t>
        </is>
      </c>
      <c r="G1" s="23" t="inlineStr">
        <is>
          <t>Team 6</t>
        </is>
      </c>
      <c r="H1" s="23" t="inlineStr">
        <is>
          <t>Team 7</t>
        </is>
      </c>
      <c r="I1" s="23" t="inlineStr">
        <is>
          <t>Team 8</t>
        </is>
      </c>
      <c r="J1" s="23" t="inlineStr">
        <is>
          <t>Team 9</t>
        </is>
      </c>
      <c r="K1" s="23" t="inlineStr">
        <is>
          <t>Team 10</t>
        </is>
      </c>
      <c r="L1" s="23" t="inlineStr">
        <is>
          <t>Team 11</t>
        </is>
      </c>
      <c r="M1" s="23" t="inlineStr">
        <is>
          <t>Team 12</t>
        </is>
      </c>
    </row>
    <row r="2">
      <c r="A2" s="16" t="n">
        <v>1</v>
      </c>
      <c r="B2" s="24">
        <f>IF(INDEX(Draft!$C$5:$C$196,1)="","",INDEX(Draft!$C$5:$C$196,1))</f>
        <v/>
      </c>
      <c r="C2" s="25">
        <f>IF(INDEX(Draft!$C$5:$C$196,2)="","",INDEX(Draft!$C$5:$C$196,2))</f>
        <v/>
      </c>
      <c r="D2" s="25">
        <f>IF(INDEX(Draft!$C$5:$C$196,3)="","",INDEX(Draft!$C$5:$C$196,3))</f>
        <v/>
      </c>
      <c r="E2" s="25">
        <f>IF(INDEX(Draft!$C$5:$C$196,4)="","",INDEX(Draft!$C$5:$C$196,4))</f>
        <v/>
      </c>
      <c r="F2" s="25">
        <f>IF(INDEX(Draft!$C$5:$C$196,5)="","",INDEX(Draft!$C$5:$C$196,5))</f>
        <v/>
      </c>
      <c r="G2" s="25">
        <f>IF(INDEX(Draft!$C$5:$C$196,6)="","",INDEX(Draft!$C$5:$C$196,6))</f>
        <v/>
      </c>
      <c r="H2" s="25">
        <f>IF(INDEX(Draft!$C$5:$C$196,7)="","",INDEX(Draft!$C$5:$C$196,7))</f>
        <v/>
      </c>
      <c r="I2" s="25">
        <f>IF(INDEX(Draft!$C$5:$C$196,8)="","",INDEX(Draft!$C$5:$C$196,8))</f>
        <v/>
      </c>
      <c r="J2" s="25">
        <f>IF(INDEX(Draft!$C$5:$C$196,9)="","",INDEX(Draft!$C$5:$C$196,9))</f>
        <v/>
      </c>
      <c r="K2" s="25">
        <f>IF(INDEX(Draft!$C$5:$C$196,10)="","",INDEX(Draft!$C$5:$C$196,10))</f>
        <v/>
      </c>
      <c r="L2" s="25">
        <f>IF(INDEX(Draft!$C$5:$C$196,11)="","",INDEX(Draft!$C$5:$C$196,11))</f>
        <v/>
      </c>
      <c r="M2" s="25">
        <f>IF(INDEX(Draft!$C$5:$C$196,12)="","",INDEX(Draft!$C$5:$C$196,12))</f>
        <v/>
      </c>
    </row>
    <row r="3">
      <c r="A3" s="16" t="n">
        <v>2</v>
      </c>
      <c r="B3" s="24">
        <f>IF(INDEX(Draft!$C$5:$C$196,24)="","",INDEX(Draft!$C$5:$C$196,24))</f>
        <v/>
      </c>
      <c r="C3" s="25">
        <f>IF(INDEX(Draft!$C$5:$C$196,23)="","",INDEX(Draft!$C$5:$C$196,23))</f>
        <v/>
      </c>
      <c r="D3" s="25">
        <f>IF(INDEX(Draft!$C$5:$C$196,22)="","",INDEX(Draft!$C$5:$C$196,22))</f>
        <v/>
      </c>
      <c r="E3" s="25">
        <f>IF(INDEX(Draft!$C$5:$C$196,21)="","",INDEX(Draft!$C$5:$C$196,21))</f>
        <v/>
      </c>
      <c r="F3" s="25">
        <f>IF(INDEX(Draft!$C$5:$C$196,20)="","",INDEX(Draft!$C$5:$C$196,20))</f>
        <v/>
      </c>
      <c r="G3" s="25">
        <f>IF(INDEX(Draft!$C$5:$C$196,19)="","",INDEX(Draft!$C$5:$C$196,19))</f>
        <v/>
      </c>
      <c r="H3" s="25">
        <f>IF(INDEX(Draft!$C$5:$C$196,18)="","",INDEX(Draft!$C$5:$C$196,18))</f>
        <v/>
      </c>
      <c r="I3" s="25">
        <f>IF(INDEX(Draft!$C$5:$C$196,17)="","",INDEX(Draft!$C$5:$C$196,17))</f>
        <v/>
      </c>
      <c r="J3" s="25">
        <f>IF(INDEX(Draft!$C$5:$C$196,16)="","",INDEX(Draft!$C$5:$C$196,16))</f>
        <v/>
      </c>
      <c r="K3" s="25">
        <f>IF(INDEX(Draft!$C$5:$C$196,15)="","",INDEX(Draft!$C$5:$C$196,15))</f>
        <v/>
      </c>
      <c r="L3" s="25">
        <f>IF(INDEX(Draft!$C$5:$C$196,14)="","",INDEX(Draft!$C$5:$C$196,14))</f>
        <v/>
      </c>
      <c r="M3" s="25">
        <f>IF(INDEX(Draft!$C$5:$C$196,13)="","",INDEX(Draft!$C$5:$C$196,13))</f>
        <v/>
      </c>
    </row>
    <row r="4">
      <c r="A4" s="16" t="n">
        <v>3</v>
      </c>
      <c r="B4" s="24">
        <f>IF(INDEX(Draft!$C$5:$C$196,25)="","",INDEX(Draft!$C$5:$C$196,25))</f>
        <v/>
      </c>
      <c r="C4" s="25">
        <f>IF(INDEX(Draft!$C$5:$C$196,26)="","",INDEX(Draft!$C$5:$C$196,26))</f>
        <v/>
      </c>
      <c r="D4" s="25">
        <f>IF(INDEX(Draft!$C$5:$C$196,27)="","",INDEX(Draft!$C$5:$C$196,27))</f>
        <v/>
      </c>
      <c r="E4" s="25">
        <f>IF(INDEX(Draft!$C$5:$C$196,28)="","",INDEX(Draft!$C$5:$C$196,28))</f>
        <v/>
      </c>
      <c r="F4" s="25">
        <f>IF(INDEX(Draft!$C$5:$C$196,29)="","",INDEX(Draft!$C$5:$C$196,29))</f>
        <v/>
      </c>
      <c r="G4" s="25">
        <f>IF(INDEX(Draft!$C$5:$C$196,30)="","",INDEX(Draft!$C$5:$C$196,30))</f>
        <v/>
      </c>
      <c r="H4" s="25">
        <f>IF(INDEX(Draft!$C$5:$C$196,31)="","",INDEX(Draft!$C$5:$C$196,31))</f>
        <v/>
      </c>
      <c r="I4" s="25">
        <f>IF(INDEX(Draft!$C$5:$C$196,32)="","",INDEX(Draft!$C$5:$C$196,32))</f>
        <v/>
      </c>
      <c r="J4" s="25">
        <f>IF(INDEX(Draft!$C$5:$C$196,33)="","",INDEX(Draft!$C$5:$C$196,33))</f>
        <v/>
      </c>
      <c r="K4" s="25">
        <f>IF(INDEX(Draft!$C$5:$C$196,34)="","",INDEX(Draft!$C$5:$C$196,34))</f>
        <v/>
      </c>
      <c r="L4" s="25">
        <f>IF(INDEX(Draft!$C$5:$C$196,35)="","",INDEX(Draft!$C$5:$C$196,35))</f>
        <v/>
      </c>
      <c r="M4" s="25">
        <f>IF(INDEX(Draft!$C$5:$C$196,36)="","",INDEX(Draft!$C$5:$C$196,36))</f>
        <v/>
      </c>
    </row>
    <row r="5">
      <c r="A5" s="16" t="n">
        <v>4</v>
      </c>
      <c r="B5" s="24">
        <f>IF(INDEX(Draft!$C$5:$C$196,48)="","",INDEX(Draft!$C$5:$C$196,48))</f>
        <v/>
      </c>
      <c r="C5" s="25">
        <f>IF(INDEX(Draft!$C$5:$C$196,47)="","",INDEX(Draft!$C$5:$C$196,47))</f>
        <v/>
      </c>
      <c r="D5" s="25">
        <f>IF(INDEX(Draft!$C$5:$C$196,46)="","",INDEX(Draft!$C$5:$C$196,46))</f>
        <v/>
      </c>
      <c r="E5" s="25">
        <f>IF(INDEX(Draft!$C$5:$C$196,45)="","",INDEX(Draft!$C$5:$C$196,45))</f>
        <v/>
      </c>
      <c r="F5" s="25">
        <f>IF(INDEX(Draft!$C$5:$C$196,44)="","",INDEX(Draft!$C$5:$C$196,44))</f>
        <v/>
      </c>
      <c r="G5" s="25">
        <f>IF(INDEX(Draft!$C$5:$C$196,43)="","",INDEX(Draft!$C$5:$C$196,43))</f>
        <v/>
      </c>
      <c r="H5" s="25">
        <f>IF(INDEX(Draft!$C$5:$C$196,42)="","",INDEX(Draft!$C$5:$C$196,42))</f>
        <v/>
      </c>
      <c r="I5" s="25">
        <f>IF(INDEX(Draft!$C$5:$C$196,41)="","",INDEX(Draft!$C$5:$C$196,41))</f>
        <v/>
      </c>
      <c r="J5" s="25">
        <f>IF(INDEX(Draft!$C$5:$C$196,40)="","",INDEX(Draft!$C$5:$C$196,40))</f>
        <v/>
      </c>
      <c r="K5" s="25">
        <f>IF(INDEX(Draft!$C$5:$C$196,39)="","",INDEX(Draft!$C$5:$C$196,39))</f>
        <v/>
      </c>
      <c r="L5" s="25">
        <f>IF(INDEX(Draft!$C$5:$C$196,38)="","",INDEX(Draft!$C$5:$C$196,38))</f>
        <v/>
      </c>
      <c r="M5" s="25">
        <f>IF(INDEX(Draft!$C$5:$C$196,37)="","",INDEX(Draft!$C$5:$C$196,37))</f>
        <v/>
      </c>
    </row>
    <row r="6">
      <c r="A6" s="16" t="n">
        <v>5</v>
      </c>
      <c r="B6" s="24">
        <f>IF(INDEX(Draft!$C$5:$C$196,49)="","",INDEX(Draft!$C$5:$C$196,49))</f>
        <v/>
      </c>
      <c r="C6" s="25">
        <f>IF(INDEX(Draft!$C$5:$C$196,50)="","",INDEX(Draft!$C$5:$C$196,50))</f>
        <v/>
      </c>
      <c r="D6" s="25">
        <f>IF(INDEX(Draft!$C$5:$C$196,51)="","",INDEX(Draft!$C$5:$C$196,51))</f>
        <v/>
      </c>
      <c r="E6" s="25">
        <f>IF(INDEX(Draft!$C$5:$C$196,52)="","",INDEX(Draft!$C$5:$C$196,52))</f>
        <v/>
      </c>
      <c r="F6" s="25">
        <f>IF(INDEX(Draft!$C$5:$C$196,53)="","",INDEX(Draft!$C$5:$C$196,53))</f>
        <v/>
      </c>
      <c r="G6" s="25">
        <f>IF(INDEX(Draft!$C$5:$C$196,54)="","",INDEX(Draft!$C$5:$C$196,54))</f>
        <v/>
      </c>
      <c r="H6" s="25">
        <f>IF(INDEX(Draft!$C$5:$C$196,55)="","",INDEX(Draft!$C$5:$C$196,55))</f>
        <v/>
      </c>
      <c r="I6" s="25">
        <f>IF(INDEX(Draft!$C$5:$C$196,56)="","",INDEX(Draft!$C$5:$C$196,56))</f>
        <v/>
      </c>
      <c r="J6" s="25">
        <f>IF(INDEX(Draft!$C$5:$C$196,57)="","",INDEX(Draft!$C$5:$C$196,57))</f>
        <v/>
      </c>
      <c r="K6" s="25">
        <f>IF(INDEX(Draft!$C$5:$C$196,58)="","",INDEX(Draft!$C$5:$C$196,58))</f>
        <v/>
      </c>
      <c r="L6" s="25">
        <f>IF(INDEX(Draft!$C$5:$C$196,59)="","",INDEX(Draft!$C$5:$C$196,59))</f>
        <v/>
      </c>
      <c r="M6" s="25">
        <f>IF(INDEX(Draft!$C$5:$C$196,60)="","",INDEX(Draft!$C$5:$C$196,60))</f>
        <v/>
      </c>
    </row>
    <row r="7">
      <c r="A7" s="16" t="n">
        <v>6</v>
      </c>
      <c r="B7" s="24">
        <f>IF(INDEX(Draft!$C$5:$C$196,72)="","",INDEX(Draft!$C$5:$C$196,72))</f>
        <v/>
      </c>
      <c r="C7" s="25">
        <f>IF(INDEX(Draft!$C$5:$C$196,71)="","",INDEX(Draft!$C$5:$C$196,71))</f>
        <v/>
      </c>
      <c r="D7" s="25">
        <f>IF(INDEX(Draft!$C$5:$C$196,70)="","",INDEX(Draft!$C$5:$C$196,70))</f>
        <v/>
      </c>
      <c r="E7" s="25">
        <f>IF(INDEX(Draft!$C$5:$C$196,69)="","",INDEX(Draft!$C$5:$C$196,69))</f>
        <v/>
      </c>
      <c r="F7" s="25">
        <f>IF(INDEX(Draft!$C$5:$C$196,68)="","",INDEX(Draft!$C$5:$C$196,68))</f>
        <v/>
      </c>
      <c r="G7" s="25">
        <f>IF(INDEX(Draft!$C$5:$C$196,67)="","",INDEX(Draft!$C$5:$C$196,67))</f>
        <v/>
      </c>
      <c r="H7" s="25">
        <f>IF(INDEX(Draft!$C$5:$C$196,66)="","",INDEX(Draft!$C$5:$C$196,66))</f>
        <v/>
      </c>
      <c r="I7" s="25">
        <f>IF(INDEX(Draft!$C$5:$C$196,65)="","",INDEX(Draft!$C$5:$C$196,65))</f>
        <v/>
      </c>
      <c r="J7" s="25">
        <f>IF(INDEX(Draft!$C$5:$C$196,64)="","",INDEX(Draft!$C$5:$C$196,64))</f>
        <v/>
      </c>
      <c r="K7" s="25">
        <f>IF(INDEX(Draft!$C$5:$C$196,63)="","",INDEX(Draft!$C$5:$C$196,63))</f>
        <v/>
      </c>
      <c r="L7" s="25">
        <f>IF(INDEX(Draft!$C$5:$C$196,62)="","",INDEX(Draft!$C$5:$C$196,62))</f>
        <v/>
      </c>
      <c r="M7" s="25">
        <f>IF(INDEX(Draft!$C$5:$C$196,61)="","",INDEX(Draft!$C$5:$C$196,61))</f>
        <v/>
      </c>
    </row>
    <row r="8">
      <c r="A8" s="16" t="n">
        <v>7</v>
      </c>
      <c r="B8" s="24">
        <f>IF(INDEX(Draft!$C$5:$C$196,73)="","",INDEX(Draft!$C$5:$C$196,73))</f>
        <v/>
      </c>
      <c r="C8" s="25">
        <f>IF(INDEX(Draft!$C$5:$C$196,74)="","",INDEX(Draft!$C$5:$C$196,74))</f>
        <v/>
      </c>
      <c r="D8" s="25">
        <f>IF(INDEX(Draft!$C$5:$C$196,75)="","",INDEX(Draft!$C$5:$C$196,75))</f>
        <v/>
      </c>
      <c r="E8" s="25">
        <f>IF(INDEX(Draft!$C$5:$C$196,76)="","",INDEX(Draft!$C$5:$C$196,76))</f>
        <v/>
      </c>
      <c r="F8" s="25">
        <f>IF(INDEX(Draft!$C$5:$C$196,77)="","",INDEX(Draft!$C$5:$C$196,77))</f>
        <v/>
      </c>
      <c r="G8" s="25">
        <f>IF(INDEX(Draft!$C$5:$C$196,78)="","",INDEX(Draft!$C$5:$C$196,78))</f>
        <v/>
      </c>
      <c r="H8" s="25">
        <f>IF(INDEX(Draft!$C$5:$C$196,79)="","",INDEX(Draft!$C$5:$C$196,79))</f>
        <v/>
      </c>
      <c r="I8" s="25">
        <f>IF(INDEX(Draft!$C$5:$C$196,80)="","",INDEX(Draft!$C$5:$C$196,80))</f>
        <v/>
      </c>
      <c r="J8" s="25">
        <f>IF(INDEX(Draft!$C$5:$C$196,81)="","",INDEX(Draft!$C$5:$C$196,81))</f>
        <v/>
      </c>
      <c r="K8" s="25">
        <f>IF(INDEX(Draft!$C$5:$C$196,82)="","",INDEX(Draft!$C$5:$C$196,82))</f>
        <v/>
      </c>
      <c r="L8" s="25">
        <f>IF(INDEX(Draft!$C$5:$C$196,83)="","",INDEX(Draft!$C$5:$C$196,83))</f>
        <v/>
      </c>
      <c r="M8" s="25">
        <f>IF(INDEX(Draft!$C$5:$C$196,84)="","",INDEX(Draft!$C$5:$C$196,84))</f>
        <v/>
      </c>
    </row>
    <row r="9">
      <c r="A9" s="16" t="n">
        <v>8</v>
      </c>
      <c r="B9" s="24">
        <f>IF(INDEX(Draft!$C$5:$C$196,96)="","",INDEX(Draft!$C$5:$C$196,96))</f>
        <v/>
      </c>
      <c r="C9" s="25">
        <f>IF(INDEX(Draft!$C$5:$C$196,95)="","",INDEX(Draft!$C$5:$C$196,95))</f>
        <v/>
      </c>
      <c r="D9" s="25">
        <f>IF(INDEX(Draft!$C$5:$C$196,94)="","",INDEX(Draft!$C$5:$C$196,94))</f>
        <v/>
      </c>
      <c r="E9" s="25">
        <f>IF(INDEX(Draft!$C$5:$C$196,93)="","",INDEX(Draft!$C$5:$C$196,93))</f>
        <v/>
      </c>
      <c r="F9" s="25">
        <f>IF(INDEX(Draft!$C$5:$C$196,92)="","",INDEX(Draft!$C$5:$C$196,92))</f>
        <v/>
      </c>
      <c r="G9" s="25">
        <f>IF(INDEX(Draft!$C$5:$C$196,91)="","",INDEX(Draft!$C$5:$C$196,91))</f>
        <v/>
      </c>
      <c r="H9" s="25">
        <f>IF(INDEX(Draft!$C$5:$C$196,90)="","",INDEX(Draft!$C$5:$C$196,90))</f>
        <v/>
      </c>
      <c r="I9" s="25">
        <f>IF(INDEX(Draft!$C$5:$C$196,89)="","",INDEX(Draft!$C$5:$C$196,89))</f>
        <v/>
      </c>
      <c r="J9" s="25">
        <f>IF(INDEX(Draft!$C$5:$C$196,88)="","",INDEX(Draft!$C$5:$C$196,88))</f>
        <v/>
      </c>
      <c r="K9" s="25">
        <f>IF(INDEX(Draft!$C$5:$C$196,87)="","",INDEX(Draft!$C$5:$C$196,87))</f>
        <v/>
      </c>
      <c r="L9" s="25">
        <f>IF(INDEX(Draft!$C$5:$C$196,86)="","",INDEX(Draft!$C$5:$C$196,86))</f>
        <v/>
      </c>
      <c r="M9" s="25">
        <f>IF(INDEX(Draft!$C$5:$C$196,85)="","",INDEX(Draft!$C$5:$C$196,85))</f>
        <v/>
      </c>
    </row>
    <row r="10">
      <c r="A10" s="16" t="n">
        <v>9</v>
      </c>
      <c r="B10" s="24">
        <f>IF(INDEX(Draft!$C$5:$C$196,97)="","",INDEX(Draft!$C$5:$C$196,97))</f>
        <v/>
      </c>
      <c r="C10" s="25">
        <f>IF(INDEX(Draft!$C$5:$C$196,98)="","",INDEX(Draft!$C$5:$C$196,98))</f>
        <v/>
      </c>
      <c r="D10" s="25">
        <f>IF(INDEX(Draft!$C$5:$C$196,99)="","",INDEX(Draft!$C$5:$C$196,99))</f>
        <v/>
      </c>
      <c r="E10" s="25">
        <f>IF(INDEX(Draft!$C$5:$C$196,100)="","",INDEX(Draft!$C$5:$C$196,100))</f>
        <v/>
      </c>
      <c r="F10" s="25">
        <f>IF(INDEX(Draft!$C$5:$C$196,101)="","",INDEX(Draft!$C$5:$C$196,101))</f>
        <v/>
      </c>
      <c r="G10" s="25">
        <f>IF(INDEX(Draft!$C$5:$C$196,102)="","",INDEX(Draft!$C$5:$C$196,102))</f>
        <v/>
      </c>
      <c r="H10" s="25">
        <f>IF(INDEX(Draft!$C$5:$C$196,103)="","",INDEX(Draft!$C$5:$C$196,103))</f>
        <v/>
      </c>
      <c r="I10" s="25">
        <f>IF(INDEX(Draft!$C$5:$C$196,104)="","",INDEX(Draft!$C$5:$C$196,104))</f>
        <v/>
      </c>
      <c r="J10" s="25">
        <f>IF(INDEX(Draft!$C$5:$C$196,105)="","",INDEX(Draft!$C$5:$C$196,105))</f>
        <v/>
      </c>
      <c r="K10" s="25">
        <f>IF(INDEX(Draft!$C$5:$C$196,106)="","",INDEX(Draft!$C$5:$C$196,106))</f>
        <v/>
      </c>
      <c r="L10" s="25">
        <f>IF(INDEX(Draft!$C$5:$C$196,107)="","",INDEX(Draft!$C$5:$C$196,107))</f>
        <v/>
      </c>
      <c r="M10" s="25">
        <f>IF(INDEX(Draft!$C$5:$C$196,108)="","",INDEX(Draft!$C$5:$C$196,108))</f>
        <v/>
      </c>
    </row>
    <row r="11">
      <c r="A11" s="16" t="n">
        <v>10</v>
      </c>
      <c r="B11" s="24">
        <f>IF(INDEX(Draft!$C$5:$C$196,120)="","",INDEX(Draft!$C$5:$C$196,120))</f>
        <v/>
      </c>
      <c r="C11" s="25">
        <f>IF(INDEX(Draft!$C$5:$C$196,119)="","",INDEX(Draft!$C$5:$C$196,119))</f>
        <v/>
      </c>
      <c r="D11" s="25">
        <f>IF(INDEX(Draft!$C$5:$C$196,118)="","",INDEX(Draft!$C$5:$C$196,118))</f>
        <v/>
      </c>
      <c r="E11" s="25">
        <f>IF(INDEX(Draft!$C$5:$C$196,117)="","",INDEX(Draft!$C$5:$C$196,117))</f>
        <v/>
      </c>
      <c r="F11" s="25">
        <f>IF(INDEX(Draft!$C$5:$C$196,116)="","",INDEX(Draft!$C$5:$C$196,116))</f>
        <v/>
      </c>
      <c r="G11" s="25">
        <f>IF(INDEX(Draft!$C$5:$C$196,115)="","",INDEX(Draft!$C$5:$C$196,115))</f>
        <v/>
      </c>
      <c r="H11" s="25">
        <f>IF(INDEX(Draft!$C$5:$C$196,114)="","",INDEX(Draft!$C$5:$C$196,114))</f>
        <v/>
      </c>
      <c r="I11" s="25">
        <f>IF(INDEX(Draft!$C$5:$C$196,113)="","",INDEX(Draft!$C$5:$C$196,113))</f>
        <v/>
      </c>
      <c r="J11" s="25">
        <f>IF(INDEX(Draft!$C$5:$C$196,112)="","",INDEX(Draft!$C$5:$C$196,112))</f>
        <v/>
      </c>
      <c r="K11" s="25">
        <f>IF(INDEX(Draft!$C$5:$C$196,111)="","",INDEX(Draft!$C$5:$C$196,111))</f>
        <v/>
      </c>
      <c r="L11" s="25">
        <f>IF(INDEX(Draft!$C$5:$C$196,110)="","",INDEX(Draft!$C$5:$C$196,110))</f>
        <v/>
      </c>
      <c r="M11" s="25">
        <f>IF(INDEX(Draft!$C$5:$C$196,109)="","",INDEX(Draft!$C$5:$C$196,109))</f>
        <v/>
      </c>
    </row>
    <row r="12">
      <c r="A12" s="16" t="n">
        <v>11</v>
      </c>
      <c r="B12" s="24">
        <f>IF(INDEX(Draft!$C$5:$C$196,121)="","",INDEX(Draft!$C$5:$C$196,121))</f>
        <v/>
      </c>
      <c r="C12" s="25">
        <f>IF(INDEX(Draft!$C$5:$C$196,122)="","",INDEX(Draft!$C$5:$C$196,122))</f>
        <v/>
      </c>
      <c r="D12" s="25">
        <f>IF(INDEX(Draft!$C$5:$C$196,123)="","",INDEX(Draft!$C$5:$C$196,123))</f>
        <v/>
      </c>
      <c r="E12" s="25">
        <f>IF(INDEX(Draft!$C$5:$C$196,124)="","",INDEX(Draft!$C$5:$C$196,124))</f>
        <v/>
      </c>
      <c r="F12" s="25">
        <f>IF(INDEX(Draft!$C$5:$C$196,125)="","",INDEX(Draft!$C$5:$C$196,125))</f>
        <v/>
      </c>
      <c r="G12" s="25">
        <f>IF(INDEX(Draft!$C$5:$C$196,126)="","",INDEX(Draft!$C$5:$C$196,126))</f>
        <v/>
      </c>
      <c r="H12" s="25">
        <f>IF(INDEX(Draft!$C$5:$C$196,127)="","",INDEX(Draft!$C$5:$C$196,127))</f>
        <v/>
      </c>
      <c r="I12" s="25">
        <f>IF(INDEX(Draft!$C$5:$C$196,128)="","",INDEX(Draft!$C$5:$C$196,128))</f>
        <v/>
      </c>
      <c r="J12" s="25">
        <f>IF(INDEX(Draft!$C$5:$C$196,129)="","",INDEX(Draft!$C$5:$C$196,129))</f>
        <v/>
      </c>
      <c r="K12" s="25">
        <f>IF(INDEX(Draft!$C$5:$C$196,130)="","",INDEX(Draft!$C$5:$C$196,130))</f>
        <v/>
      </c>
      <c r="L12" s="25">
        <f>IF(INDEX(Draft!$C$5:$C$196,131)="","",INDEX(Draft!$C$5:$C$196,131))</f>
        <v/>
      </c>
      <c r="M12" s="25">
        <f>IF(INDEX(Draft!$C$5:$C$196,132)="","",INDEX(Draft!$C$5:$C$196,132))</f>
        <v/>
      </c>
    </row>
    <row r="13">
      <c r="A13" s="16" t="n">
        <v>12</v>
      </c>
      <c r="B13" s="24">
        <f>IF(INDEX(Draft!$C$5:$C$196,144)="","",INDEX(Draft!$C$5:$C$196,144))</f>
        <v/>
      </c>
      <c r="C13" s="25">
        <f>IF(INDEX(Draft!$C$5:$C$196,143)="","",INDEX(Draft!$C$5:$C$196,143))</f>
        <v/>
      </c>
      <c r="D13" s="25">
        <f>IF(INDEX(Draft!$C$5:$C$196,142)="","",INDEX(Draft!$C$5:$C$196,142))</f>
        <v/>
      </c>
      <c r="E13" s="25">
        <f>IF(INDEX(Draft!$C$5:$C$196,141)="","",INDEX(Draft!$C$5:$C$196,141))</f>
        <v/>
      </c>
      <c r="F13" s="25">
        <f>IF(INDEX(Draft!$C$5:$C$196,140)="","",INDEX(Draft!$C$5:$C$196,140))</f>
        <v/>
      </c>
      <c r="G13" s="25">
        <f>IF(INDEX(Draft!$C$5:$C$196,139)="","",INDEX(Draft!$C$5:$C$196,139))</f>
        <v/>
      </c>
      <c r="H13" s="25">
        <f>IF(INDEX(Draft!$C$5:$C$196,138)="","",INDEX(Draft!$C$5:$C$196,138))</f>
        <v/>
      </c>
      <c r="I13" s="25">
        <f>IF(INDEX(Draft!$C$5:$C$196,137)="","",INDEX(Draft!$C$5:$C$196,137))</f>
        <v/>
      </c>
      <c r="J13" s="25">
        <f>IF(INDEX(Draft!$C$5:$C$196,136)="","",INDEX(Draft!$C$5:$C$196,136))</f>
        <v/>
      </c>
      <c r="K13" s="25">
        <f>IF(INDEX(Draft!$C$5:$C$196,135)="","",INDEX(Draft!$C$5:$C$196,135))</f>
        <v/>
      </c>
      <c r="L13" s="25">
        <f>IF(INDEX(Draft!$C$5:$C$196,134)="","",INDEX(Draft!$C$5:$C$196,134))</f>
        <v/>
      </c>
      <c r="M13" s="25">
        <f>IF(INDEX(Draft!$C$5:$C$196,133)="","",INDEX(Draft!$C$5:$C$196,133))</f>
        <v/>
      </c>
    </row>
    <row r="14">
      <c r="A14" s="16" t="n">
        <v>13</v>
      </c>
      <c r="B14" s="24">
        <f>IF(INDEX(Draft!$C$5:$C$196,145)="","",INDEX(Draft!$C$5:$C$196,145))</f>
        <v/>
      </c>
      <c r="C14" s="25">
        <f>IF(INDEX(Draft!$C$5:$C$196,146)="","",INDEX(Draft!$C$5:$C$196,146))</f>
        <v/>
      </c>
      <c r="D14" s="25">
        <f>IF(INDEX(Draft!$C$5:$C$196,147)="","",INDEX(Draft!$C$5:$C$196,147))</f>
        <v/>
      </c>
      <c r="E14" s="25">
        <f>IF(INDEX(Draft!$C$5:$C$196,148)="","",INDEX(Draft!$C$5:$C$196,148))</f>
        <v/>
      </c>
      <c r="F14" s="25">
        <f>IF(INDEX(Draft!$C$5:$C$196,149)="","",INDEX(Draft!$C$5:$C$196,149))</f>
        <v/>
      </c>
      <c r="G14" s="25">
        <f>IF(INDEX(Draft!$C$5:$C$196,150)="","",INDEX(Draft!$C$5:$C$196,150))</f>
        <v/>
      </c>
      <c r="H14" s="25">
        <f>IF(INDEX(Draft!$C$5:$C$196,151)="","",INDEX(Draft!$C$5:$C$196,151))</f>
        <v/>
      </c>
      <c r="I14" s="25">
        <f>IF(INDEX(Draft!$C$5:$C$196,152)="","",INDEX(Draft!$C$5:$C$196,152))</f>
        <v/>
      </c>
      <c r="J14" s="25">
        <f>IF(INDEX(Draft!$C$5:$C$196,153)="","",INDEX(Draft!$C$5:$C$196,153))</f>
        <v/>
      </c>
      <c r="K14" s="25">
        <f>IF(INDEX(Draft!$C$5:$C$196,154)="","",INDEX(Draft!$C$5:$C$196,154))</f>
        <v/>
      </c>
      <c r="L14" s="25">
        <f>IF(INDEX(Draft!$C$5:$C$196,155)="","",INDEX(Draft!$C$5:$C$196,155))</f>
        <v/>
      </c>
      <c r="M14" s="25">
        <f>IF(INDEX(Draft!$C$5:$C$196,156)="","",INDEX(Draft!$C$5:$C$196,156))</f>
        <v/>
      </c>
    </row>
    <row r="15">
      <c r="A15" s="16" t="n">
        <v>14</v>
      </c>
      <c r="B15" s="24">
        <f>IF(INDEX(Draft!$C$5:$C$196,168)="","",INDEX(Draft!$C$5:$C$196,168))</f>
        <v/>
      </c>
      <c r="C15" s="25">
        <f>IF(INDEX(Draft!$C$5:$C$196,167)="","",INDEX(Draft!$C$5:$C$196,167))</f>
        <v/>
      </c>
      <c r="D15" s="25">
        <f>IF(INDEX(Draft!$C$5:$C$196,166)="","",INDEX(Draft!$C$5:$C$196,166))</f>
        <v/>
      </c>
      <c r="E15" s="25">
        <f>IF(INDEX(Draft!$C$5:$C$196,165)="","",INDEX(Draft!$C$5:$C$196,165))</f>
        <v/>
      </c>
      <c r="F15" s="25">
        <f>IF(INDEX(Draft!$C$5:$C$196,164)="","",INDEX(Draft!$C$5:$C$196,164))</f>
        <v/>
      </c>
      <c r="G15" s="25">
        <f>IF(INDEX(Draft!$C$5:$C$196,163)="","",INDEX(Draft!$C$5:$C$196,163))</f>
        <v/>
      </c>
      <c r="H15" s="25">
        <f>IF(INDEX(Draft!$C$5:$C$196,162)="","",INDEX(Draft!$C$5:$C$196,162))</f>
        <v/>
      </c>
      <c r="I15" s="25">
        <f>IF(INDEX(Draft!$C$5:$C$196,161)="","",INDEX(Draft!$C$5:$C$196,161))</f>
        <v/>
      </c>
      <c r="J15" s="25">
        <f>IF(INDEX(Draft!$C$5:$C$196,160)="","",INDEX(Draft!$C$5:$C$196,160))</f>
        <v/>
      </c>
      <c r="K15" s="25">
        <f>IF(INDEX(Draft!$C$5:$C$196,159)="","",INDEX(Draft!$C$5:$C$196,159))</f>
        <v/>
      </c>
      <c r="L15" s="25">
        <f>IF(INDEX(Draft!$C$5:$C$196,158)="","",INDEX(Draft!$C$5:$C$196,158))</f>
        <v/>
      </c>
      <c r="M15" s="25">
        <f>IF(INDEX(Draft!$C$5:$C$196,157)="","",INDEX(Draft!$C$5:$C$196,157))</f>
        <v/>
      </c>
    </row>
    <row r="16">
      <c r="A16" s="16" t="n">
        <v>15</v>
      </c>
      <c r="B16" s="24">
        <f>IF(INDEX(Draft!$C$5:$C$196,169)="","",INDEX(Draft!$C$5:$C$196,169))</f>
        <v/>
      </c>
      <c r="C16" s="25">
        <f>IF(INDEX(Draft!$C$5:$C$196,170)="","",INDEX(Draft!$C$5:$C$196,170))</f>
        <v/>
      </c>
      <c r="D16" s="25">
        <f>IF(INDEX(Draft!$C$5:$C$196,171)="","",INDEX(Draft!$C$5:$C$196,171))</f>
        <v/>
      </c>
      <c r="E16" s="25">
        <f>IF(INDEX(Draft!$C$5:$C$196,172)="","",INDEX(Draft!$C$5:$C$196,172))</f>
        <v/>
      </c>
      <c r="F16" s="25">
        <f>IF(INDEX(Draft!$C$5:$C$196,173)="","",INDEX(Draft!$C$5:$C$196,173))</f>
        <v/>
      </c>
      <c r="G16" s="25">
        <f>IF(INDEX(Draft!$C$5:$C$196,174)="","",INDEX(Draft!$C$5:$C$196,174))</f>
        <v/>
      </c>
      <c r="H16" s="25">
        <f>IF(INDEX(Draft!$C$5:$C$196,175)="","",INDEX(Draft!$C$5:$C$196,175))</f>
        <v/>
      </c>
      <c r="I16" s="25">
        <f>IF(INDEX(Draft!$C$5:$C$196,176)="","",INDEX(Draft!$C$5:$C$196,176))</f>
        <v/>
      </c>
      <c r="J16" s="25">
        <f>IF(INDEX(Draft!$C$5:$C$196,177)="","",INDEX(Draft!$C$5:$C$196,177))</f>
        <v/>
      </c>
      <c r="K16" s="25">
        <f>IF(INDEX(Draft!$C$5:$C$196,178)="","",INDEX(Draft!$C$5:$C$196,178))</f>
        <v/>
      </c>
      <c r="L16" s="25">
        <f>IF(INDEX(Draft!$C$5:$C$196,179)="","",INDEX(Draft!$C$5:$C$196,179))</f>
        <v/>
      </c>
      <c r="M16" s="25">
        <f>IF(INDEX(Draft!$C$5:$C$196,180)="","",INDEX(Draft!$C$5:$C$196,180))</f>
        <v/>
      </c>
    </row>
    <row r="17">
      <c r="A17" s="16" t="n">
        <v>16</v>
      </c>
      <c r="B17" s="24">
        <f>IF(INDEX(Draft!$C$5:$C$196,192)="","",INDEX(Draft!$C$5:$C$196,192))</f>
        <v/>
      </c>
      <c r="C17" s="25">
        <f>IF(INDEX(Draft!$C$5:$C$196,191)="","",INDEX(Draft!$C$5:$C$196,191))</f>
        <v/>
      </c>
      <c r="D17" s="25">
        <f>IF(INDEX(Draft!$C$5:$C$196,190)="","",INDEX(Draft!$C$5:$C$196,190))</f>
        <v/>
      </c>
      <c r="E17" s="25">
        <f>IF(INDEX(Draft!$C$5:$C$196,189)="","",INDEX(Draft!$C$5:$C$196,189))</f>
        <v/>
      </c>
      <c r="F17" s="25">
        <f>IF(INDEX(Draft!$C$5:$C$196,188)="","",INDEX(Draft!$C$5:$C$196,188))</f>
        <v/>
      </c>
      <c r="G17" s="25">
        <f>IF(INDEX(Draft!$C$5:$C$196,187)="","",INDEX(Draft!$C$5:$C$196,187))</f>
        <v/>
      </c>
      <c r="H17" s="25">
        <f>IF(INDEX(Draft!$C$5:$C$196,186)="","",INDEX(Draft!$C$5:$C$196,186))</f>
        <v/>
      </c>
      <c r="I17" s="25">
        <f>IF(INDEX(Draft!$C$5:$C$196,185)="","",INDEX(Draft!$C$5:$C$196,185))</f>
        <v/>
      </c>
      <c r="J17" s="25">
        <f>IF(INDEX(Draft!$C$5:$C$196,184)="","",INDEX(Draft!$C$5:$C$196,184))</f>
        <v/>
      </c>
      <c r="K17" s="25">
        <f>IF(INDEX(Draft!$C$5:$C$196,183)="","",INDEX(Draft!$C$5:$C$196,183))</f>
        <v/>
      </c>
      <c r="L17" s="25">
        <f>IF(INDEX(Draft!$C$5:$C$196,182)="","",INDEX(Draft!$C$5:$C$196,182))</f>
        <v/>
      </c>
      <c r="M17" s="25">
        <f>IF(INDEX(Draft!$C$5:$C$196,181)="","",INDEX(Draft!$C$5:$C$196,181))</f>
        <v/>
      </c>
    </row>
    <row r="19">
      <c r="A19" s="26" t="inlineStr">
        <is>
          <t>Filled from the Draft sheet, where the picks are entered. Your column is the blue 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7" customWidth="1" min="1" max="1"/>
    <col width="10" customWidth="1" min="2" max="2"/>
    <col width="8" customWidth="1" min="3" max="3"/>
    <col width="13" customWidth="1" min="4" max="4"/>
    <col width="11" customWidth="1" min="5" max="5"/>
    <col width="9" customWidth="1" min="6" max="6"/>
    <col width="7" customWidth="1" min="7" max="7"/>
  </cols>
  <sheetData>
    <row r="1">
      <c r="A1" s="27" t="inlineStr">
        <is>
          <t>Position scarcity and replacement level</t>
        </is>
      </c>
    </row>
    <row r="2">
      <c r="A2" s="26" t="inlineStr">
        <is>
          <t>Replacement is the last starter at each position across the league — 12 teams x the starters your roster needs. VORP on the Players and Available sheets is a man's score minus his own position's replacement, which is what makes a centre and a defenceman comparable. The cliff is how far the NEXT man falls below the one on the board now: a big cliff is a run about to start.</t>
        </is>
      </c>
    </row>
    <row r="4">
      <c r="A4" s="28" t="inlineStr">
        <is>
          <t>Pos</t>
        </is>
      </c>
      <c r="B4" s="28" t="inlineStr">
        <is>
          <t>Starters</t>
        </is>
      </c>
      <c r="C4" s="28" t="inlineStr">
        <is>
          <t>Gone</t>
        </is>
      </c>
      <c r="D4" s="28" t="inlineStr">
        <is>
          <t>Replacement</t>
        </is>
      </c>
      <c r="E4" s="28" t="inlineStr">
        <is>
          <t>Best left</t>
        </is>
      </c>
      <c r="F4" s="28" t="inlineStr">
        <is>
          <t>Cliff</t>
        </is>
      </c>
      <c r="G4" s="28" t="inlineStr">
        <is>
          <t>Left</t>
        </is>
      </c>
    </row>
    <row r="5">
      <c r="A5" s="29" t="inlineStr">
        <is>
          <t>C</t>
        </is>
      </c>
      <c r="B5" t="n">
        <v>24</v>
      </c>
      <c r="C5">
        <f>SUMPRODUCT((Players!$D$2:$D$301="C")*(Players!$S$2:$S$301=1))</f>
        <v/>
      </c>
      <c r="D5" s="13">
        <f>IFERROR(SUMPRODUCT((Players!$D$2:$D$301="C")*(Players!$W$2:$W$301=MIN($G5,MAX(1,$B5-$C5)))*Players!$U$2:$U$301),0)</f>
        <v/>
      </c>
      <c r="E5" s="13">
        <f>IFERROR(SUMPRODUCT((Players!$D$2:$D$301="C")*(Players!$W$2:$W$301=1)*Players!$U$2:$U$301),0)</f>
        <v/>
      </c>
      <c r="F5" s="13">
        <f>IFERROR($E5-SUMPRODUCT((Players!$D$2:$D$301="C")*(Players!$W$2:$W$301=2)*Players!$U$2:$U$301),0)</f>
        <v/>
      </c>
      <c r="G5">
        <f>SUMPRODUCT((Players!$D$2:$D$301="C")*(Players!$V$2:$V$301&gt;-9000))</f>
        <v/>
      </c>
    </row>
    <row r="6">
      <c r="A6" s="29" t="inlineStr">
        <is>
          <t>L</t>
        </is>
      </c>
      <c r="B6" t="n">
        <v>24</v>
      </c>
      <c r="C6">
        <f>SUMPRODUCT((Players!$D$2:$D$301="L")*(Players!$S$2:$S$301=1))</f>
        <v/>
      </c>
      <c r="D6" s="13">
        <f>IFERROR(SUMPRODUCT((Players!$D$2:$D$301="L")*(Players!$W$2:$W$301=MIN($G6,MAX(1,$B6-$C6)))*Players!$U$2:$U$301),0)</f>
        <v/>
      </c>
      <c r="E6" s="13">
        <f>IFERROR(SUMPRODUCT((Players!$D$2:$D$301="L")*(Players!$W$2:$W$301=1)*Players!$U$2:$U$301),0)</f>
        <v/>
      </c>
      <c r="F6" s="13">
        <f>IFERROR($E6-SUMPRODUCT((Players!$D$2:$D$301="L")*(Players!$W$2:$W$301=2)*Players!$U$2:$U$301),0)</f>
        <v/>
      </c>
      <c r="G6">
        <f>SUMPRODUCT((Players!$D$2:$D$301="L")*(Players!$V$2:$V$301&gt;-9000))</f>
        <v/>
      </c>
    </row>
    <row r="7">
      <c r="A7" s="29" t="inlineStr">
        <is>
          <t>R</t>
        </is>
      </c>
      <c r="B7" t="n">
        <v>24</v>
      </c>
      <c r="C7">
        <f>SUMPRODUCT((Players!$D$2:$D$301="R")*(Players!$S$2:$S$301=1))</f>
        <v/>
      </c>
      <c r="D7" s="13">
        <f>IFERROR(SUMPRODUCT((Players!$D$2:$D$301="R")*(Players!$W$2:$W$301=MIN($G7,MAX(1,$B7-$C7)))*Players!$U$2:$U$301),0)</f>
        <v/>
      </c>
      <c r="E7" s="13">
        <f>IFERROR(SUMPRODUCT((Players!$D$2:$D$301="R")*(Players!$W$2:$W$301=1)*Players!$U$2:$U$301),0)</f>
        <v/>
      </c>
      <c r="F7" s="13">
        <f>IFERROR($E7-SUMPRODUCT((Players!$D$2:$D$301="R")*(Players!$W$2:$W$301=2)*Players!$U$2:$U$301),0)</f>
        <v/>
      </c>
      <c r="G7">
        <f>SUMPRODUCT((Players!$D$2:$D$301="R")*(Players!$V$2:$V$301&gt;-9000))</f>
        <v/>
      </c>
    </row>
    <row r="8">
      <c r="A8" s="29" t="inlineStr">
        <is>
          <t>D</t>
        </is>
      </c>
      <c r="B8" t="n">
        <v>48</v>
      </c>
      <c r="C8">
        <f>SUMPRODUCT((Players!$D$2:$D$301="D")*(Players!$S$2:$S$301=1))</f>
        <v/>
      </c>
      <c r="D8" s="13">
        <f>IFERROR(SUMPRODUCT((Players!$D$2:$D$301="D")*(Players!$W$2:$W$301=MIN($G8,MAX(1,$B8-$C8)))*Players!$U$2:$U$301),0)</f>
        <v/>
      </c>
      <c r="E8" s="13">
        <f>IFERROR(SUMPRODUCT((Players!$D$2:$D$301="D")*(Players!$W$2:$W$301=1)*Players!$U$2:$U$301),0)</f>
        <v/>
      </c>
      <c r="F8" s="13">
        <f>IFERROR($E8-SUMPRODUCT((Players!$D$2:$D$301="D")*(Players!$W$2:$W$301=2)*Players!$U$2:$U$301),0)</f>
        <v/>
      </c>
      <c r="G8">
        <f>SUMPRODUCT((Players!$D$2:$D$301="D")*(Players!$V$2:$V$301&gt;-9000))</f>
        <v/>
      </c>
    </row>
    <row r="9">
      <c r="A9" s="29" t="inlineStr">
        <is>
          <t>G</t>
        </is>
      </c>
      <c r="B9" t="n">
        <v>24</v>
      </c>
      <c r="C9">
        <f>SUMPRODUCT((Players!$D$2:$D$301="G")*(Players!$S$2:$S$301=1))</f>
        <v/>
      </c>
      <c r="D9" s="13">
        <f>IFERROR(SUMPRODUCT((Players!$D$2:$D$301="G")*(Players!$W$2:$W$301=MIN($G9,MAX(1,$B9-$C9)))*Players!$U$2:$U$301),0)</f>
        <v/>
      </c>
      <c r="E9" s="13">
        <f>IFERROR(SUMPRODUCT((Players!$D$2:$D$301="G")*(Players!$W$2:$W$301=1)*Players!$U$2:$U$301),0)</f>
        <v/>
      </c>
      <c r="F9" s="13">
        <f>IFERROR($E9-SUMPRODUCT((Players!$D$2:$D$301="G")*(Players!$W$2:$W$301=2)*Players!$U$2:$U$301),0)</f>
        <v/>
      </c>
      <c r="G9">
        <f>SUMPRODUCT((Players!$D$2:$D$301="G")*(Players!$V$2:$V$301&gt;-9000))</f>
        <v/>
      </c>
    </row>
  </sheetData>
  <conditionalFormatting sqref="F5:F9">
    <cfRule type="cellIs" priority="1" operator="greaterThan" dxfId="8">
      <formula>3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X3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4" customWidth="1" min="2" max="2"/>
    <col width="7" customWidth="1" min="3" max="3"/>
    <col width="6" customWidth="1" min="4" max="4"/>
    <col width="7" customWidth="1" min="5" max="5"/>
    <col width="6" customWidth="1" min="6" max="6"/>
    <col width="7" customWidth="1" min="7" max="7"/>
    <col width="6" customWidth="1" min="8" max="8"/>
    <col width="5" customWidth="1" min="9" max="9"/>
    <col width="5" customWidth="1" min="10" max="10"/>
    <col width="7" customWidth="1" min="11" max="11"/>
    <col width="6" customWidth="1" min="12" max="12"/>
    <col width="8" customWidth="1" min="13" max="13"/>
  </cols>
  <sheetData>
    <row r="1">
      <c r="A1" s="28" t="inlineStr">
        <is>
          <t>#</t>
        </is>
      </c>
      <c r="B1" s="28" t="inlineStr">
        <is>
          <t>Player</t>
        </is>
      </c>
      <c r="C1" s="28" t="inlineStr">
        <is>
          <t>Team</t>
        </is>
      </c>
      <c r="D1" s="28" t="inlineStr">
        <is>
          <t>Pos</t>
        </is>
      </c>
      <c r="E1" s="28" t="inlineStr">
        <is>
          <t>Role</t>
        </is>
      </c>
      <c r="F1" s="28" t="inlineStr">
        <is>
          <t>PP</t>
        </is>
      </c>
      <c r="G1" s="28" t="inlineStr">
        <is>
          <t>TOI</t>
        </is>
      </c>
      <c r="H1" s="28" t="inlineStr">
        <is>
          <t>GP</t>
        </is>
      </c>
      <c r="I1" s="28" t="inlineStr">
        <is>
          <t>ES</t>
        </is>
      </c>
      <c r="J1" s="28" t="inlineStr">
        <is>
          <t>PK</t>
        </is>
      </c>
      <c r="K1" s="28" t="inlineStr">
        <is>
          <t>Upside</t>
        </is>
      </c>
      <c r="L1" s="28" t="inlineStr">
        <is>
          <t>Light</t>
        </is>
      </c>
      <c r="M1" s="28" t="inlineStr">
        <is>
          <t>G</t>
        </is>
      </c>
      <c r="N1" s="28" t="inlineStr">
        <is>
          <t>A</t>
        </is>
      </c>
      <c r="O1" s="28" t="inlineStr">
        <is>
          <t>PPP</t>
        </is>
      </c>
      <c r="P1" s="28" t="inlineStr">
        <is>
          <t>SOG</t>
        </is>
      </c>
      <c r="Q1" s="28" t="inlineStr">
        <is>
          <t>HIT</t>
        </is>
      </c>
      <c r="R1" s="28" t="inlineStr">
        <is>
          <t>BLK</t>
        </is>
      </c>
      <c r="S1" s="28" t="inlineStr">
        <is>
          <t>Gone</t>
        </is>
      </c>
      <c r="T1" s="28" t="inlineStr">
        <is>
          <t>Taken by</t>
        </is>
      </c>
      <c r="U1" s="28" t="inlineStr">
        <is>
          <t>Score</t>
        </is>
      </c>
      <c r="V1" s="28" t="inlineStr">
        <is>
          <t>Avail</t>
        </is>
      </c>
      <c r="W1" s="28" t="inlineStr">
        <is>
          <t>PosRk</t>
        </is>
      </c>
      <c r="X1" s="28" t="inlineStr">
        <is>
          <t>VORP</t>
        </is>
      </c>
    </row>
    <row r="2">
      <c r="A2" t="n">
        <v>1</v>
      </c>
      <c r="B2" t="inlineStr">
        <is>
          <t>Connor McDavid</t>
        </is>
      </c>
      <c r="C2" t="inlineStr">
        <is>
          <t>EDM</t>
        </is>
      </c>
      <c r="D2" t="inlineStr">
        <is>
          <t>C</t>
        </is>
      </c>
      <c r="E2" t="inlineStr">
        <is>
          <t>L1</t>
        </is>
      </c>
      <c r="F2" t="inlineStr">
        <is>
          <t>PP1</t>
        </is>
      </c>
      <c r="G2" t="n">
        <v>22</v>
      </c>
      <c r="H2" t="n">
        <v>78</v>
      </c>
      <c r="I2" t="n">
        <v>1</v>
      </c>
      <c r="J2" t="n">
        <v>3</v>
      </c>
      <c r="K2" t="n">
        <v>182.7</v>
      </c>
      <c r="L2" t="n">
        <v>32.1</v>
      </c>
      <c r="M2" t="n">
        <v>42.5</v>
      </c>
      <c r="N2" t="n">
        <v>92.8</v>
      </c>
      <c r="O2" t="n">
        <v>51.2</v>
      </c>
      <c r="P2" t="n">
        <v>273.3</v>
      </c>
      <c r="Q2" t="n">
        <v>48</v>
      </c>
      <c r="R2" t="n">
        <v>28.3</v>
      </c>
      <c r="S2">
        <f>IF(COUNTIF(Draft!$C$5:$C$196,$B2)&gt;0,1,0)</f>
        <v/>
      </c>
      <c r="T2">
        <f>IF($S2=0,"",IFERROR(INDEX(Draft!$B$5:$B$196,MATCH($B2,Draft!$C$5:$C$196,0)),""))</f>
        <v/>
      </c>
      <c r="U2" t="n">
        <v>13.99</v>
      </c>
      <c r="V2">
        <f>IF($S2=1,-9999,$U2-ROW()/100000)</f>
        <v/>
      </c>
      <c r="W2">
        <f>IF($S2=1,"",SUMPRODUCT(($D$2:$D$301=$D2)*($V$2:$V$301&gt;$V2))+1)</f>
        <v/>
      </c>
      <c r="X2">
        <f>IF($S2=1,"",$U2-IFERROR(INDEX(Scarcity!$D$5:$D$9,MATCH($D2,Scarcity!$A$5:$A$9,0)),0))</f>
        <v/>
      </c>
    </row>
    <row r="3">
      <c r="A3" t="n">
        <v>2</v>
      </c>
      <c r="B3" t="inlineStr">
        <is>
          <t>Nathan MacKinnon</t>
        </is>
      </c>
      <c r="C3" t="inlineStr">
        <is>
          <t>COL</t>
        </is>
      </c>
      <c r="D3" t="inlineStr">
        <is>
          <t>C</t>
        </is>
      </c>
      <c r="E3" t="inlineStr">
        <is>
          <t>L1</t>
        </is>
      </c>
      <c r="F3" t="inlineStr">
        <is>
          <t>PP1</t>
        </is>
      </c>
      <c r="G3" t="n">
        <v>21</v>
      </c>
      <c r="H3" t="n">
        <v>79</v>
      </c>
      <c r="I3" t="n">
        <v>1</v>
      </c>
      <c r="K3" t="n">
        <v>170.4</v>
      </c>
      <c r="L3" t="n">
        <v>35.7</v>
      </c>
      <c r="M3" t="n">
        <v>44.7</v>
      </c>
      <c r="N3" t="n">
        <v>81.5</v>
      </c>
      <c r="O3" t="n">
        <v>35.1</v>
      </c>
      <c r="P3" t="n">
        <v>336.4</v>
      </c>
      <c r="Q3" t="n">
        <v>55.6</v>
      </c>
      <c r="R3" t="n">
        <v>42.5</v>
      </c>
      <c r="S3">
        <f>IF(COUNTIF(Draft!$C$5:$C$196,$B3)&gt;0,1,0)</f>
        <v/>
      </c>
      <c r="T3">
        <f>IF($S3=0,"",IFERROR(INDEX(Draft!$B$5:$B$196,MATCH($B3,Draft!$C$5:$C$196,0)),""))</f>
        <v/>
      </c>
      <c r="U3" t="n">
        <v>13.45</v>
      </c>
      <c r="V3">
        <f>IF($S3=1,-9999,$U3-ROW()/100000)</f>
        <v/>
      </c>
      <c r="W3">
        <f>IF($S3=1,"",SUMPRODUCT(($D$2:$D$301=$D3)*($V$2:$V$301&gt;$V3))+1)</f>
        <v/>
      </c>
      <c r="X3">
        <f>IF($S3=1,"",$U3-IFERROR(INDEX(Scarcity!$D$5:$D$9,MATCH($D3,Scarcity!$A$5:$A$9,0)),0))</f>
        <v/>
      </c>
    </row>
    <row r="4">
      <c r="A4" t="n">
        <v>3</v>
      </c>
      <c r="B4" t="inlineStr">
        <is>
          <t>Macklin Celebrini</t>
        </is>
      </c>
      <c r="C4" t="inlineStr">
        <is>
          <t>SJS</t>
        </is>
      </c>
      <c r="D4" t="inlineStr">
        <is>
          <t>C</t>
        </is>
      </c>
      <c r="E4" t="inlineStr">
        <is>
          <t>L1</t>
        </is>
      </c>
      <c r="F4" t="inlineStr">
        <is>
          <t>PP1</t>
        </is>
      </c>
      <c r="G4" t="n">
        <v>20.9</v>
      </c>
      <c r="H4" t="n">
        <v>79</v>
      </c>
      <c r="I4" t="n">
        <v>1</v>
      </c>
      <c r="J4" t="n">
        <v>3</v>
      </c>
      <c r="K4" t="n">
        <v>161.4</v>
      </c>
      <c r="L4" t="n">
        <v>31</v>
      </c>
      <c r="M4" t="n">
        <v>43.5</v>
      </c>
      <c r="N4" t="n">
        <v>76</v>
      </c>
      <c r="O4" t="n">
        <v>36.8</v>
      </c>
      <c r="P4" t="n">
        <v>314.4</v>
      </c>
      <c r="Q4" t="n">
        <v>50.9</v>
      </c>
      <c r="R4" t="n">
        <v>52.1</v>
      </c>
      <c r="S4">
        <f>IF(COUNTIF(Draft!$C$5:$C$196,$B4)&gt;0,1,0)</f>
        <v/>
      </c>
      <c r="T4">
        <f>IF($S4=0,"",IFERROR(INDEX(Draft!$B$5:$B$196,MATCH($B4,Draft!$C$5:$C$196,0)),""))</f>
        <v/>
      </c>
      <c r="U4" t="n">
        <v>12.95</v>
      </c>
      <c r="V4">
        <f>IF($S4=1,-9999,$U4-ROW()/100000)</f>
        <v/>
      </c>
      <c r="W4">
        <f>IF($S4=1,"",SUMPRODUCT(($D$2:$D$301=$D4)*($V$2:$V$301&gt;$V4))+1)</f>
        <v/>
      </c>
      <c r="X4">
        <f>IF($S4=1,"",$U4-IFERROR(INDEX(Scarcity!$D$5:$D$9,MATCH($D4,Scarcity!$A$5:$A$9,0)),0))</f>
        <v/>
      </c>
    </row>
    <row r="5">
      <c r="A5" t="n">
        <v>4</v>
      </c>
      <c r="B5" t="inlineStr">
        <is>
          <t>Nikita Kucherov</t>
        </is>
      </c>
      <c r="C5" t="inlineStr">
        <is>
          <t>TBL</t>
        </is>
      </c>
      <c r="D5" t="inlineStr">
        <is>
          <t>R</t>
        </is>
      </c>
      <c r="E5" t="inlineStr">
        <is>
          <t>L1</t>
        </is>
      </c>
      <c r="F5" t="inlineStr">
        <is>
          <t>PP1</t>
        </is>
      </c>
      <c r="G5" t="n">
        <v>19.3</v>
      </c>
      <c r="H5" t="n">
        <v>76</v>
      </c>
      <c r="I5" t="n">
        <v>1</v>
      </c>
      <c r="K5" t="n">
        <v>171.5</v>
      </c>
      <c r="L5" t="n">
        <v>19</v>
      </c>
      <c r="M5" t="n">
        <v>37.4</v>
      </c>
      <c r="N5" t="n">
        <v>89.59999999999999</v>
      </c>
      <c r="O5" t="n">
        <v>42.1</v>
      </c>
      <c r="P5" t="n">
        <v>235.1</v>
      </c>
      <c r="Q5" t="n">
        <v>33.5</v>
      </c>
      <c r="R5" t="n">
        <v>29.4</v>
      </c>
      <c r="S5">
        <f>IF(COUNTIF(Draft!$C$5:$C$196,$B5)&gt;0,1,0)</f>
        <v/>
      </c>
      <c r="T5">
        <f>IF($S5=0,"",IFERROR(INDEX(Draft!$B$5:$B$196,MATCH($B5,Draft!$C$5:$C$196,0)),""))</f>
        <v/>
      </c>
      <c r="U5" t="n">
        <v>11.38</v>
      </c>
      <c r="V5">
        <f>IF($S5=1,-9999,$U5-ROW()/100000)</f>
        <v/>
      </c>
      <c r="W5">
        <f>IF($S5=1,"",SUMPRODUCT(($D$2:$D$301=$D5)*($V$2:$V$301&gt;$V5))+1)</f>
        <v/>
      </c>
      <c r="X5">
        <f>IF($S5=1,"",$U5-IFERROR(INDEX(Scarcity!$D$5:$D$9,MATCH($D5,Scarcity!$A$5:$A$9,0)),0))</f>
        <v/>
      </c>
    </row>
    <row r="6">
      <c r="A6" t="n">
        <v>5</v>
      </c>
      <c r="B6" t="inlineStr">
        <is>
          <t>Leon Draisaitl</t>
        </is>
      </c>
      <c r="C6" t="inlineStr">
        <is>
          <t>EDM</t>
        </is>
      </c>
      <c r="D6" t="inlineStr">
        <is>
          <t>C</t>
        </is>
      </c>
      <c r="E6" t="inlineStr">
        <is>
          <t>L2</t>
        </is>
      </c>
      <c r="F6" t="inlineStr">
        <is>
          <t>PP1</t>
        </is>
      </c>
      <c r="G6" t="n">
        <v>19.6</v>
      </c>
      <c r="H6" t="n">
        <v>77</v>
      </c>
      <c r="I6" t="n">
        <v>2</v>
      </c>
      <c r="K6" t="n">
        <v>158.3</v>
      </c>
      <c r="L6" t="n">
        <v>32.1</v>
      </c>
      <c r="M6" t="n">
        <v>44.5</v>
      </c>
      <c r="N6" t="n">
        <v>72.8</v>
      </c>
      <c r="O6" t="n">
        <v>47.8</v>
      </c>
      <c r="P6" t="n">
        <v>224</v>
      </c>
      <c r="Q6" t="n">
        <v>38.7</v>
      </c>
      <c r="R6" t="n">
        <v>22.4</v>
      </c>
      <c r="S6">
        <f>IF(COUNTIF(Draft!$C$5:$C$196,$B6)&gt;0,1,0)</f>
        <v/>
      </c>
      <c r="T6">
        <f>IF($S6=0,"",IFERROR(INDEX(Draft!$B$5:$B$196,MATCH($B6,Draft!$C$5:$C$196,0)),""))</f>
        <v/>
      </c>
      <c r="U6" t="n">
        <v>11.34</v>
      </c>
      <c r="V6">
        <f>IF($S6=1,-9999,$U6-ROW()/100000)</f>
        <v/>
      </c>
      <c r="W6">
        <f>IF($S6=1,"",SUMPRODUCT(($D$2:$D$301=$D6)*($V$2:$V$301&gt;$V6))+1)</f>
        <v/>
      </c>
      <c r="X6">
        <f>IF($S6=1,"",$U6-IFERROR(INDEX(Scarcity!$D$5:$D$9,MATCH($D6,Scarcity!$A$5:$A$9,0)),0))</f>
        <v/>
      </c>
    </row>
    <row r="7">
      <c r="A7" t="n">
        <v>6</v>
      </c>
      <c r="B7" t="inlineStr">
        <is>
          <t>David Pastrnak</t>
        </is>
      </c>
      <c r="C7" t="inlineStr">
        <is>
          <t>BOS</t>
        </is>
      </c>
      <c r="D7" t="inlineStr">
        <is>
          <t>R</t>
        </is>
      </c>
      <c r="E7" t="inlineStr">
        <is>
          <t>L1</t>
        </is>
      </c>
      <c r="F7" t="inlineStr">
        <is>
          <t>PP1</t>
        </is>
      </c>
      <c r="G7" t="n">
        <v>20</v>
      </c>
      <c r="H7" t="n">
        <v>80</v>
      </c>
      <c r="I7" t="n">
        <v>1</v>
      </c>
      <c r="K7" t="n">
        <v>148.7</v>
      </c>
      <c r="L7" t="n">
        <v>28.6</v>
      </c>
      <c r="M7" t="n">
        <v>37.1</v>
      </c>
      <c r="N7" t="n">
        <v>73</v>
      </c>
      <c r="O7" t="n">
        <v>33.3</v>
      </c>
      <c r="P7" t="n">
        <v>287.9</v>
      </c>
      <c r="Q7" t="n">
        <v>78.40000000000001</v>
      </c>
      <c r="R7" t="n">
        <v>29.4</v>
      </c>
      <c r="S7">
        <f>IF(COUNTIF(Draft!$C$5:$C$196,$B7)&gt;0,1,0)</f>
        <v/>
      </c>
      <c r="T7">
        <f>IF($S7=0,"",IFERROR(INDEX(Draft!$B$5:$B$196,MATCH($B7,Draft!$C$5:$C$196,0)),""))</f>
        <v/>
      </c>
      <c r="U7" t="n">
        <v>11.17</v>
      </c>
      <c r="V7">
        <f>IF($S7=1,-9999,$U7-ROW()/100000)</f>
        <v/>
      </c>
      <c r="W7">
        <f>IF($S7=1,"",SUMPRODUCT(($D$2:$D$301=$D7)*($V$2:$V$301&gt;$V7))+1)</f>
        <v/>
      </c>
      <c r="X7">
        <f>IF($S7=1,"",$U7-IFERROR(INDEX(Scarcity!$D$5:$D$9,MATCH($D7,Scarcity!$A$5:$A$9,0)),0))</f>
        <v/>
      </c>
    </row>
    <row r="8">
      <c r="A8" t="n">
        <v>7</v>
      </c>
      <c r="B8" t="inlineStr">
        <is>
          <t>Brady Tkachuk</t>
        </is>
      </c>
      <c r="C8" t="inlineStr">
        <is>
          <t>FLA</t>
        </is>
      </c>
      <c r="D8" t="inlineStr">
        <is>
          <t>L</t>
        </is>
      </c>
      <c r="E8" t="inlineStr">
        <is>
          <t>L1</t>
        </is>
      </c>
      <c r="F8" t="inlineStr">
        <is>
          <t>PP1</t>
        </is>
      </c>
      <c r="G8" t="n">
        <v>18.2</v>
      </c>
      <c r="H8" t="n">
        <v>76</v>
      </c>
      <c r="I8" t="n">
        <v>1</v>
      </c>
      <c r="K8" t="n">
        <v>100.5</v>
      </c>
      <c r="L8" t="n">
        <v>29.8</v>
      </c>
      <c r="M8" t="n">
        <v>32.7</v>
      </c>
      <c r="N8" t="n">
        <v>43.4</v>
      </c>
      <c r="O8" t="n">
        <v>26.5</v>
      </c>
      <c r="P8" t="n">
        <v>296.7</v>
      </c>
      <c r="Q8" t="n">
        <v>221.6</v>
      </c>
      <c r="R8" t="n">
        <v>27.3</v>
      </c>
      <c r="S8">
        <f>IF(COUNTIF(Draft!$C$5:$C$196,$B8)&gt;0,1,0)</f>
        <v/>
      </c>
      <c r="T8">
        <f>IF($S8=0,"",IFERROR(INDEX(Draft!$B$5:$B$196,MATCH($B8,Draft!$C$5:$C$196,0)),""))</f>
        <v/>
      </c>
      <c r="U8" t="n">
        <v>10.94</v>
      </c>
      <c r="V8">
        <f>IF($S8=1,-9999,$U8-ROW()/100000)</f>
        <v/>
      </c>
      <c r="W8">
        <f>IF($S8=1,"",SUMPRODUCT(($D$2:$D$301=$D8)*($V$2:$V$301&gt;$V8))+1)</f>
        <v/>
      </c>
      <c r="X8">
        <f>IF($S8=1,"",$U8-IFERROR(INDEX(Scarcity!$D$5:$D$9,MATCH($D8,Scarcity!$A$5:$A$9,0)),0))</f>
        <v/>
      </c>
    </row>
    <row r="9">
      <c r="A9" t="n">
        <v>8</v>
      </c>
      <c r="B9" t="inlineStr">
        <is>
          <t>Jason Robertson</t>
        </is>
      </c>
      <c r="C9" t="inlineStr">
        <is>
          <t>DAL</t>
        </is>
      </c>
      <c r="D9" t="inlineStr">
        <is>
          <t>L</t>
        </is>
      </c>
      <c r="E9" t="inlineStr">
        <is>
          <t>L2</t>
        </is>
      </c>
      <c r="F9" t="inlineStr">
        <is>
          <t>PP1</t>
        </is>
      </c>
      <c r="G9" t="n">
        <v>18.2</v>
      </c>
      <c r="H9" t="n">
        <v>81</v>
      </c>
      <c r="I9" t="n">
        <v>2</v>
      </c>
      <c r="K9" t="n">
        <v>130.3</v>
      </c>
      <c r="L9" t="n">
        <v>31</v>
      </c>
      <c r="M9" t="n">
        <v>42.2</v>
      </c>
      <c r="N9" t="n">
        <v>54.2</v>
      </c>
      <c r="O9" t="n">
        <v>37.2</v>
      </c>
      <c r="P9" t="n">
        <v>268.8</v>
      </c>
      <c r="Q9" t="n">
        <v>53.3</v>
      </c>
      <c r="R9" t="n">
        <v>35.6</v>
      </c>
      <c r="S9">
        <f>IF(COUNTIF(Draft!$C$5:$C$196,$B9)&gt;0,1,0)</f>
        <v/>
      </c>
      <c r="T9">
        <f>IF($S9=0,"",IFERROR(INDEX(Draft!$B$5:$B$196,MATCH($B9,Draft!$C$5:$C$196,0)),""))</f>
        <v/>
      </c>
      <c r="U9" t="n">
        <v>10.23</v>
      </c>
      <c r="V9">
        <f>IF($S9=1,-9999,$U9-ROW()/100000)</f>
        <v/>
      </c>
      <c r="W9">
        <f>IF($S9=1,"",SUMPRODUCT(($D$2:$D$301=$D9)*($V$2:$V$301&gt;$V9))+1)</f>
        <v/>
      </c>
      <c r="X9">
        <f>IF($S9=1,"",$U9-IFERROR(INDEX(Scarcity!$D$5:$D$9,MATCH($D9,Scarcity!$A$5:$A$9,0)),0))</f>
        <v/>
      </c>
    </row>
    <row r="10">
      <c r="A10" t="n">
        <v>9</v>
      </c>
      <c r="B10" t="inlineStr">
        <is>
          <t>Cale Makar</t>
        </is>
      </c>
      <c r="C10" t="inlineStr">
        <is>
          <t>COL</t>
        </is>
      </c>
      <c r="D10" t="inlineStr">
        <is>
          <t>D</t>
        </is>
      </c>
      <c r="E10" t="inlineStr">
        <is>
          <t>D1</t>
        </is>
      </c>
      <c r="F10" t="inlineStr">
        <is>
          <t>PP1</t>
        </is>
      </c>
      <c r="G10" t="n">
        <v>23.8</v>
      </c>
      <c r="H10" t="n">
        <v>78</v>
      </c>
      <c r="I10" t="n">
        <v>1</v>
      </c>
      <c r="J10" t="n">
        <v>2</v>
      </c>
      <c r="K10" t="n">
        <v>119.9</v>
      </c>
      <c r="L10" t="n">
        <v>35.7</v>
      </c>
      <c r="M10" t="n">
        <v>23</v>
      </c>
      <c r="N10" t="n">
        <v>65.8</v>
      </c>
      <c r="O10" t="n">
        <v>34</v>
      </c>
      <c r="P10" t="n">
        <v>216.6</v>
      </c>
      <c r="Q10" t="n">
        <v>41.7</v>
      </c>
      <c r="R10" t="n">
        <v>123.8</v>
      </c>
      <c r="S10">
        <f>IF(COUNTIF(Draft!$C$5:$C$196,$B10)&gt;0,1,0)</f>
        <v/>
      </c>
      <c r="T10">
        <f>IF($S10=0,"",IFERROR(INDEX(Draft!$B$5:$B$196,MATCH($B10,Draft!$C$5:$C$196,0)),""))</f>
        <v/>
      </c>
      <c r="U10" t="n">
        <v>9.99</v>
      </c>
      <c r="V10">
        <f>IF($S10=1,-9999,$U10-ROW()/100000)</f>
        <v/>
      </c>
      <c r="W10">
        <f>IF($S10=1,"",SUMPRODUCT(($D$2:$D$301=$D10)*($V$2:$V$301&gt;$V10))+1)</f>
        <v/>
      </c>
      <c r="X10">
        <f>IF($S10=1,"",$U10-IFERROR(INDEX(Scarcity!$D$5:$D$9,MATCH($D10,Scarcity!$A$5:$A$9,0)),0))</f>
        <v/>
      </c>
    </row>
    <row r="11">
      <c r="A11" t="n">
        <v>10</v>
      </c>
      <c r="B11" t="inlineStr">
        <is>
          <t>Nick Suzuki</t>
        </is>
      </c>
      <c r="C11" t="inlineStr">
        <is>
          <t>MTL</t>
        </is>
      </c>
      <c r="D11" t="inlineStr">
        <is>
          <t>C</t>
        </is>
      </c>
      <c r="E11" t="inlineStr">
        <is>
          <t>L1</t>
        </is>
      </c>
      <c r="F11" t="inlineStr">
        <is>
          <t>PP1</t>
        </is>
      </c>
      <c r="G11" t="n">
        <v>19.9</v>
      </c>
      <c r="H11" t="n">
        <v>82</v>
      </c>
      <c r="I11" t="n">
        <v>1</v>
      </c>
      <c r="J11" t="n">
        <v>3</v>
      </c>
      <c r="K11" t="n">
        <v>138.9</v>
      </c>
      <c r="L11" t="n">
        <v>26.2</v>
      </c>
      <c r="M11" t="n">
        <v>31.1</v>
      </c>
      <c r="N11" t="n">
        <v>71.8</v>
      </c>
      <c r="O11" t="n">
        <v>40.5</v>
      </c>
      <c r="P11" t="n">
        <v>182.1</v>
      </c>
      <c r="Q11" t="n">
        <v>62.6</v>
      </c>
      <c r="R11" t="n">
        <v>61.9</v>
      </c>
      <c r="S11">
        <f>IF(COUNTIF(Draft!$C$5:$C$196,$B11)&gt;0,1,0)</f>
        <v/>
      </c>
      <c r="T11">
        <f>IF($S11=0,"",IFERROR(INDEX(Draft!$B$5:$B$196,MATCH($B11,Draft!$C$5:$C$196,0)),""))</f>
        <v/>
      </c>
      <c r="U11" t="n">
        <v>9.949999999999999</v>
      </c>
      <c r="V11">
        <f>IF($S11=1,-9999,$U11-ROW()/100000)</f>
        <v/>
      </c>
      <c r="W11">
        <f>IF($S11=1,"",SUMPRODUCT(($D$2:$D$301=$D11)*($V$2:$V$301&gt;$V11))+1)</f>
        <v/>
      </c>
      <c r="X11">
        <f>IF($S11=1,"",$U11-IFERROR(INDEX(Scarcity!$D$5:$D$9,MATCH($D11,Scarcity!$A$5:$A$9,0)),0))</f>
        <v/>
      </c>
    </row>
    <row r="12">
      <c r="A12" t="n">
        <v>11</v>
      </c>
      <c r="B12" t="inlineStr">
        <is>
          <t>Moritz Seider</t>
        </is>
      </c>
      <c r="C12" t="inlineStr">
        <is>
          <t>DET</t>
        </is>
      </c>
      <c r="D12" t="inlineStr">
        <is>
          <t>D</t>
        </is>
      </c>
      <c r="E12" t="inlineStr">
        <is>
          <t>D1</t>
        </is>
      </c>
      <c r="F12" t="inlineStr">
        <is>
          <t>PP1</t>
        </is>
      </c>
      <c r="G12" t="n">
        <v>25.1</v>
      </c>
      <c r="H12" t="n">
        <v>82</v>
      </c>
      <c r="I12" t="n">
        <v>1</v>
      </c>
      <c r="J12" t="n">
        <v>2</v>
      </c>
      <c r="K12" t="n">
        <v>84.59999999999999</v>
      </c>
      <c r="L12" t="n">
        <v>28.6</v>
      </c>
      <c r="M12" t="n">
        <v>9.6</v>
      </c>
      <c r="N12" t="n">
        <v>48.3</v>
      </c>
      <c r="O12" t="n">
        <v>27.4</v>
      </c>
      <c r="P12" t="n">
        <v>174</v>
      </c>
      <c r="Q12" t="n">
        <v>157.6</v>
      </c>
      <c r="R12" t="n">
        <v>179.6</v>
      </c>
      <c r="S12">
        <f>IF(COUNTIF(Draft!$C$5:$C$196,$B12)&gt;0,1,0)</f>
        <v/>
      </c>
      <c r="T12">
        <f>IF($S12=0,"",IFERROR(INDEX(Draft!$B$5:$B$196,MATCH($B12,Draft!$C$5:$C$196,0)),""))</f>
        <v/>
      </c>
      <c r="U12" t="n">
        <v>9.84</v>
      </c>
      <c r="V12">
        <f>IF($S12=1,-9999,$U12-ROW()/100000)</f>
        <v/>
      </c>
      <c r="W12">
        <f>IF($S12=1,"",SUMPRODUCT(($D$2:$D$301=$D12)*($V$2:$V$301&gt;$V12))+1)</f>
        <v/>
      </c>
      <c r="X12">
        <f>IF($S12=1,"",$U12-IFERROR(INDEX(Scarcity!$D$5:$D$9,MATCH($D12,Scarcity!$A$5:$A$9,0)),0))</f>
        <v/>
      </c>
    </row>
    <row r="13">
      <c r="A13" t="n">
        <v>12</v>
      </c>
      <c r="B13" t="inlineStr">
        <is>
          <t>Wyatt Johnston</t>
        </is>
      </c>
      <c r="C13" t="inlineStr">
        <is>
          <t>DAL</t>
        </is>
      </c>
      <c r="D13" t="inlineStr">
        <is>
          <t>C</t>
        </is>
      </c>
      <c r="E13" t="inlineStr">
        <is>
          <t>L1</t>
        </is>
      </c>
      <c r="F13" t="inlineStr">
        <is>
          <t>PP1</t>
        </is>
      </c>
      <c r="G13" t="n">
        <v>19.1</v>
      </c>
      <c r="H13" t="n">
        <v>82</v>
      </c>
      <c r="I13" t="n">
        <v>1</v>
      </c>
      <c r="K13" t="n">
        <v>120.1</v>
      </c>
      <c r="L13" t="n">
        <v>31</v>
      </c>
      <c r="M13" t="n">
        <v>43.5</v>
      </c>
      <c r="N13" t="n">
        <v>45.5</v>
      </c>
      <c r="O13" t="n">
        <v>39.3</v>
      </c>
      <c r="P13" t="n">
        <v>223.9</v>
      </c>
      <c r="Q13" t="n">
        <v>52.6</v>
      </c>
      <c r="R13" t="n">
        <v>50.6</v>
      </c>
      <c r="S13">
        <f>IF(COUNTIF(Draft!$C$5:$C$196,$B13)&gt;0,1,0)</f>
        <v/>
      </c>
      <c r="T13">
        <f>IF($S13=0,"",IFERROR(INDEX(Draft!$B$5:$B$196,MATCH($B13,Draft!$C$5:$C$196,0)),""))</f>
        <v/>
      </c>
      <c r="U13" t="n">
        <v>9.630000000000001</v>
      </c>
      <c r="V13">
        <f>IF($S13=1,-9999,$U13-ROW()/100000)</f>
        <v/>
      </c>
      <c r="W13">
        <f>IF($S13=1,"",SUMPRODUCT(($D$2:$D$301=$D13)*($V$2:$V$301&gt;$V13))+1)</f>
        <v/>
      </c>
      <c r="X13">
        <f>IF($S13=1,"",$U13-IFERROR(INDEX(Scarcity!$D$5:$D$9,MATCH($D13,Scarcity!$A$5:$A$9,0)),0))</f>
        <v/>
      </c>
    </row>
    <row r="14">
      <c r="A14" t="n">
        <v>13</v>
      </c>
      <c r="B14" t="inlineStr">
        <is>
          <t>Auston Matthews</t>
        </is>
      </c>
      <c r="C14" t="inlineStr">
        <is>
          <t>TOR</t>
        </is>
      </c>
      <c r="D14" t="inlineStr">
        <is>
          <t>C</t>
        </is>
      </c>
      <c r="E14" t="inlineStr">
        <is>
          <t>L2</t>
        </is>
      </c>
      <c r="F14" t="inlineStr">
        <is>
          <t>PP1</t>
        </is>
      </c>
      <c r="G14" t="n">
        <v>18.9</v>
      </c>
      <c r="H14" t="n">
        <v>75</v>
      </c>
      <c r="I14" t="n">
        <v>2</v>
      </c>
      <c r="J14" t="n">
        <v>2</v>
      </c>
      <c r="K14" t="n">
        <v>105.8</v>
      </c>
      <c r="L14" t="n">
        <v>26.2</v>
      </c>
      <c r="M14" t="n">
        <v>40.3</v>
      </c>
      <c r="N14" t="n">
        <v>39.8</v>
      </c>
      <c r="O14" t="n">
        <v>21.2</v>
      </c>
      <c r="P14" t="n">
        <v>290.5</v>
      </c>
      <c r="Q14" t="n">
        <v>56.4</v>
      </c>
      <c r="R14" t="n">
        <v>96.8</v>
      </c>
      <c r="S14">
        <f>IF(COUNTIF(Draft!$C$5:$C$196,$B14)&gt;0,1,0)</f>
        <v/>
      </c>
      <c r="T14">
        <f>IF($S14=0,"",IFERROR(INDEX(Draft!$B$5:$B$196,MATCH($B14,Draft!$C$5:$C$196,0)),""))</f>
        <v/>
      </c>
      <c r="U14" t="n">
        <v>9.57</v>
      </c>
      <c r="V14">
        <f>IF($S14=1,-9999,$U14-ROW()/100000)</f>
        <v/>
      </c>
      <c r="W14">
        <f>IF($S14=1,"",SUMPRODUCT(($D$2:$D$301=$D14)*($V$2:$V$301&gt;$V14))+1)</f>
        <v/>
      </c>
      <c r="X14">
        <f>IF($S14=1,"",$U14-IFERROR(INDEX(Scarcity!$D$5:$D$9,MATCH($D14,Scarcity!$A$5:$A$9,0)),0))</f>
        <v/>
      </c>
    </row>
    <row r="15">
      <c r="A15" t="n">
        <v>14</v>
      </c>
      <c r="B15" t="inlineStr">
        <is>
          <t>Tim Stützle</t>
        </is>
      </c>
      <c r="C15" t="inlineStr">
        <is>
          <t>OTT</t>
        </is>
      </c>
      <c r="D15" t="inlineStr">
        <is>
          <t>C</t>
        </is>
      </c>
      <c r="E15" t="inlineStr">
        <is>
          <t>L1</t>
        </is>
      </c>
      <c r="F15" t="inlineStr">
        <is>
          <t>PP1</t>
        </is>
      </c>
      <c r="G15" t="n">
        <v>19.4</v>
      </c>
      <c r="H15" t="n">
        <v>80</v>
      </c>
      <c r="I15" t="n">
        <v>1</v>
      </c>
      <c r="J15" t="n">
        <v>2</v>
      </c>
      <c r="K15" t="n">
        <v>122</v>
      </c>
      <c r="L15" t="n">
        <v>26.2</v>
      </c>
      <c r="M15" t="n">
        <v>32.3</v>
      </c>
      <c r="N15" t="n">
        <v>58</v>
      </c>
      <c r="O15" t="n">
        <v>33.2</v>
      </c>
      <c r="P15" t="n">
        <v>199.9</v>
      </c>
      <c r="Q15" t="n">
        <v>124.8</v>
      </c>
      <c r="R15" t="n">
        <v>44.2</v>
      </c>
      <c r="S15">
        <f>IF(COUNTIF(Draft!$C$5:$C$196,$B15)&gt;0,1,0)</f>
        <v/>
      </c>
      <c r="T15">
        <f>IF($S15=0,"",IFERROR(INDEX(Draft!$B$5:$B$196,MATCH($B15,Draft!$C$5:$C$196,0)),""))</f>
        <v/>
      </c>
      <c r="U15" t="n">
        <v>9.449999999999999</v>
      </c>
      <c r="V15">
        <f>IF($S15=1,-9999,$U15-ROW()/100000)</f>
        <v/>
      </c>
      <c r="W15">
        <f>IF($S15=1,"",SUMPRODUCT(($D$2:$D$301=$D15)*($V$2:$V$301&gt;$V15))+1)</f>
        <v/>
      </c>
      <c r="X15">
        <f>IF($S15=1,"",$U15-IFERROR(INDEX(Scarcity!$D$5:$D$9,MATCH($D15,Scarcity!$A$5:$A$9,0)),0))</f>
        <v/>
      </c>
    </row>
    <row r="16">
      <c r="A16" t="n">
        <v>15</v>
      </c>
      <c r="B16" t="inlineStr">
        <is>
          <t>Evan Bouchard</t>
        </is>
      </c>
      <c r="C16" t="inlineStr">
        <is>
          <t>EDM</t>
        </is>
      </c>
      <c r="D16" t="inlineStr">
        <is>
          <t>D</t>
        </is>
      </c>
      <c r="E16" t="inlineStr">
        <is>
          <t>D1</t>
        </is>
      </c>
      <c r="F16" t="inlineStr">
        <is>
          <t>PP1</t>
        </is>
      </c>
      <c r="G16" t="n">
        <v>24</v>
      </c>
      <c r="H16" t="n">
        <v>81</v>
      </c>
      <c r="I16" t="n">
        <v>1</v>
      </c>
      <c r="J16" t="n">
        <v>2</v>
      </c>
      <c r="K16" t="n">
        <v>122.1</v>
      </c>
      <c r="L16" t="n">
        <v>32.1</v>
      </c>
      <c r="M16" t="n">
        <v>19</v>
      </c>
      <c r="N16" t="n">
        <v>71.5</v>
      </c>
      <c r="O16" t="n">
        <v>32.8</v>
      </c>
      <c r="P16" t="n">
        <v>221.8</v>
      </c>
      <c r="Q16" t="n">
        <v>35.5</v>
      </c>
      <c r="R16" t="n">
        <v>101.3</v>
      </c>
      <c r="S16">
        <f>IF(COUNTIF(Draft!$C$5:$C$196,$B16)&gt;0,1,0)</f>
        <v/>
      </c>
      <c r="T16">
        <f>IF($S16=0,"",IFERROR(INDEX(Draft!$B$5:$B$196,MATCH($B16,Draft!$C$5:$C$196,0)),""))</f>
        <v/>
      </c>
      <c r="U16" t="n">
        <v>9.17</v>
      </c>
      <c r="V16">
        <f>IF($S16=1,-9999,$U16-ROW()/100000)</f>
        <v/>
      </c>
      <c r="W16">
        <f>IF($S16=1,"",SUMPRODUCT(($D$2:$D$301=$D16)*($V$2:$V$301&gt;$V16))+1)</f>
        <v/>
      </c>
      <c r="X16">
        <f>IF($S16=1,"",$U16-IFERROR(INDEX(Scarcity!$D$5:$D$9,MATCH($D16,Scarcity!$A$5:$A$9,0)),0))</f>
        <v/>
      </c>
    </row>
    <row r="17">
      <c r="A17" t="n">
        <v>16</v>
      </c>
      <c r="B17" t="inlineStr">
        <is>
          <t>Matt Boldy</t>
        </is>
      </c>
      <c r="C17" t="inlineStr">
        <is>
          <t>MIN</t>
        </is>
      </c>
      <c r="D17" t="inlineStr">
        <is>
          <t>L</t>
        </is>
      </c>
      <c r="E17" t="inlineStr">
        <is>
          <t>L2</t>
        </is>
      </c>
      <c r="F17" t="inlineStr">
        <is>
          <t>PP1</t>
        </is>
      </c>
      <c r="G17" t="n">
        <v>18.8</v>
      </c>
      <c r="H17" t="n">
        <v>78</v>
      </c>
      <c r="I17" t="n">
        <v>2</v>
      </c>
      <c r="J17" t="n">
        <v>2</v>
      </c>
      <c r="K17" t="n">
        <v>111.8</v>
      </c>
      <c r="L17" t="n">
        <v>23.8</v>
      </c>
      <c r="M17" t="n">
        <v>36.9</v>
      </c>
      <c r="N17" t="n">
        <v>47.9</v>
      </c>
      <c r="O17" t="n">
        <v>30.2</v>
      </c>
      <c r="P17" t="n">
        <v>266.7</v>
      </c>
      <c r="Q17" t="n">
        <v>57</v>
      </c>
      <c r="R17" t="n">
        <v>56.6</v>
      </c>
      <c r="S17">
        <f>IF(COUNTIF(Draft!$C$5:$C$196,$B17)&gt;0,1,0)</f>
        <v/>
      </c>
      <c r="T17">
        <f>IF($S17=0,"",IFERROR(INDEX(Draft!$B$5:$B$196,MATCH($B17,Draft!$C$5:$C$196,0)),""))</f>
        <v/>
      </c>
      <c r="U17" t="n">
        <v>9.17</v>
      </c>
      <c r="V17">
        <f>IF($S17=1,-9999,$U17-ROW()/100000)</f>
        <v/>
      </c>
      <c r="W17">
        <f>IF($S17=1,"",SUMPRODUCT(($D$2:$D$301=$D17)*($V$2:$V$301&gt;$V17))+1)</f>
        <v/>
      </c>
      <c r="X17">
        <f>IF($S17=1,"",$U17-IFERROR(INDEX(Scarcity!$D$5:$D$9,MATCH($D17,Scarcity!$A$5:$A$9,0)),0))</f>
        <v/>
      </c>
    </row>
    <row r="18">
      <c r="A18" t="n">
        <v>17</v>
      </c>
      <c r="B18" t="inlineStr">
        <is>
          <t>Mikko Rantanen</t>
        </is>
      </c>
      <c r="C18" t="inlineStr">
        <is>
          <t>DAL</t>
        </is>
      </c>
      <c r="D18" t="inlineStr">
        <is>
          <t>R</t>
        </is>
      </c>
      <c r="E18" t="inlineStr">
        <is>
          <t>L1</t>
        </is>
      </c>
      <c r="F18" t="inlineStr">
        <is>
          <t>PP1</t>
        </is>
      </c>
      <c r="G18" t="n">
        <v>19.2</v>
      </c>
      <c r="H18" t="n">
        <v>78</v>
      </c>
      <c r="I18" t="n">
        <v>1</v>
      </c>
      <c r="K18" t="n">
        <v>131.6</v>
      </c>
      <c r="L18" t="n">
        <v>31</v>
      </c>
      <c r="M18" t="n">
        <v>31.7</v>
      </c>
      <c r="N18" t="n">
        <v>65.7</v>
      </c>
      <c r="O18" t="n">
        <v>38.3</v>
      </c>
      <c r="P18" t="n">
        <v>188.9</v>
      </c>
      <c r="Q18" t="n">
        <v>54.5</v>
      </c>
      <c r="R18" t="n">
        <v>38.7</v>
      </c>
      <c r="S18">
        <f>IF(COUNTIF(Draft!$C$5:$C$196,$B18)&gt;0,1,0)</f>
        <v/>
      </c>
      <c r="T18">
        <f>IF($S18=0,"",IFERROR(INDEX(Draft!$B$5:$B$196,MATCH($B18,Draft!$C$5:$C$196,0)),""))</f>
        <v/>
      </c>
      <c r="U18" t="n">
        <v>8.720000000000001</v>
      </c>
      <c r="V18">
        <f>IF($S18=1,-9999,$U18-ROW()/100000)</f>
        <v/>
      </c>
      <c r="W18">
        <f>IF($S18=1,"",SUMPRODUCT(($D$2:$D$301=$D18)*($V$2:$V$301&gt;$V18))+1)</f>
        <v/>
      </c>
      <c r="X18">
        <f>IF($S18=1,"",$U18-IFERROR(INDEX(Scarcity!$D$5:$D$9,MATCH($D18,Scarcity!$A$5:$A$9,0)),0))</f>
        <v/>
      </c>
    </row>
    <row r="19">
      <c r="A19" t="n">
        <v>18</v>
      </c>
      <c r="B19" t="inlineStr">
        <is>
          <t>Jack Hughes</t>
        </is>
      </c>
      <c r="C19" t="inlineStr">
        <is>
          <t>NJD</t>
        </is>
      </c>
      <c r="D19" t="inlineStr">
        <is>
          <t>C</t>
        </is>
      </c>
      <c r="E19" t="inlineStr">
        <is>
          <t>L1</t>
        </is>
      </c>
      <c r="F19" t="inlineStr">
        <is>
          <t>PP1</t>
        </is>
      </c>
      <c r="G19" t="n">
        <v>20</v>
      </c>
      <c r="H19" t="n">
        <v>70</v>
      </c>
      <c r="I19" t="n">
        <v>1</v>
      </c>
      <c r="K19" t="n">
        <v>130.4</v>
      </c>
      <c r="L19" t="n">
        <v>21.4</v>
      </c>
      <c r="M19" t="n">
        <v>34.7</v>
      </c>
      <c r="N19" t="n">
        <v>61.9</v>
      </c>
      <c r="O19" t="n">
        <v>31.6</v>
      </c>
      <c r="P19" t="n">
        <v>278.1</v>
      </c>
      <c r="Q19" t="n">
        <v>7</v>
      </c>
      <c r="R19" t="n">
        <v>34.6</v>
      </c>
      <c r="S19">
        <f>IF(COUNTIF(Draft!$C$5:$C$196,$B19)&gt;0,1,0)</f>
        <v/>
      </c>
      <c r="T19">
        <f>IF($S19=0,"",IFERROR(INDEX(Draft!$B$5:$B$196,MATCH($B19,Draft!$C$5:$C$196,0)),""))</f>
        <v/>
      </c>
      <c r="U19" t="n">
        <v>8.619999999999999</v>
      </c>
      <c r="V19">
        <f>IF($S19=1,-9999,$U19-ROW()/100000)</f>
        <v/>
      </c>
      <c r="W19">
        <f>IF($S19=1,"",SUMPRODUCT(($D$2:$D$301=$D19)*($V$2:$V$301&gt;$V19))+1)</f>
        <v/>
      </c>
      <c r="X19">
        <f>IF($S19=1,"",$U19-IFERROR(INDEX(Scarcity!$D$5:$D$9,MATCH($D19,Scarcity!$A$5:$A$9,0)),0))</f>
        <v/>
      </c>
    </row>
    <row r="20">
      <c r="A20" t="n">
        <v>19</v>
      </c>
      <c r="B20" t="inlineStr">
        <is>
          <t>Quinn Hughes</t>
        </is>
      </c>
      <c r="C20" t="inlineStr">
        <is>
          <t>MIN</t>
        </is>
      </c>
      <c r="D20" t="inlineStr">
        <is>
          <t>D</t>
        </is>
      </c>
      <c r="E20" t="inlineStr">
        <is>
          <t>D1</t>
        </is>
      </c>
      <c r="F20" t="inlineStr">
        <is>
          <t>PP1</t>
        </is>
      </c>
      <c r="G20" t="n">
        <v>26.3</v>
      </c>
      <c r="H20" t="n">
        <v>78</v>
      </c>
      <c r="I20" t="n">
        <v>1</v>
      </c>
      <c r="J20" t="n">
        <v>3</v>
      </c>
      <c r="K20" t="n">
        <v>123.9</v>
      </c>
      <c r="L20" t="n">
        <v>23.8</v>
      </c>
      <c r="M20" t="n">
        <v>13.5</v>
      </c>
      <c r="N20" t="n">
        <v>78.2</v>
      </c>
      <c r="O20" t="n">
        <v>38.1</v>
      </c>
      <c r="P20" t="n">
        <v>202.4</v>
      </c>
      <c r="Q20" t="n">
        <v>12.3</v>
      </c>
      <c r="R20" t="n">
        <v>84.90000000000001</v>
      </c>
      <c r="S20">
        <f>IF(COUNTIF(Draft!$C$5:$C$196,$B20)&gt;0,1,0)</f>
        <v/>
      </c>
      <c r="T20">
        <f>IF($S20=0,"",IFERROR(INDEX(Draft!$B$5:$B$196,MATCH($B20,Draft!$C$5:$C$196,0)),""))</f>
        <v/>
      </c>
      <c r="U20" t="n">
        <v>8.359999999999999</v>
      </c>
      <c r="V20">
        <f>IF($S20=1,-9999,$U20-ROW()/100000)</f>
        <v/>
      </c>
      <c r="W20">
        <f>IF($S20=1,"",SUMPRODUCT(($D$2:$D$301=$D20)*($V$2:$V$301&gt;$V20))+1)</f>
        <v/>
      </c>
      <c r="X20">
        <f>IF($S20=1,"",$U20-IFERROR(INDEX(Scarcity!$D$5:$D$9,MATCH($D20,Scarcity!$A$5:$A$9,0)),0))</f>
        <v/>
      </c>
    </row>
    <row r="21">
      <c r="A21" t="n">
        <v>20</v>
      </c>
      <c r="B21" t="inlineStr">
        <is>
          <t>Zach Werenski</t>
        </is>
      </c>
      <c r="C21" t="inlineStr">
        <is>
          <t>CBJ</t>
        </is>
      </c>
      <c r="D21" t="inlineStr">
        <is>
          <t>D</t>
        </is>
      </c>
      <c r="E21" t="inlineStr">
        <is>
          <t>D1</t>
        </is>
      </c>
      <c r="F21" t="inlineStr">
        <is>
          <t>PP1</t>
        </is>
      </c>
      <c r="G21" t="n">
        <v>25.4</v>
      </c>
      <c r="H21" t="n">
        <v>77</v>
      </c>
      <c r="I21" t="n">
        <v>1</v>
      </c>
      <c r="J21" t="n">
        <v>2</v>
      </c>
      <c r="K21" t="n">
        <v>108.3</v>
      </c>
      <c r="L21" t="n">
        <v>20.2</v>
      </c>
      <c r="M21" t="n">
        <v>20.8</v>
      </c>
      <c r="N21" t="n">
        <v>61.2</v>
      </c>
      <c r="O21" t="n">
        <v>22.6</v>
      </c>
      <c r="P21" t="n">
        <v>263.6</v>
      </c>
      <c r="Q21" t="n">
        <v>27.2</v>
      </c>
      <c r="R21" t="n">
        <v>107.3</v>
      </c>
      <c r="S21">
        <f>IF(COUNTIF(Draft!$C$5:$C$196,$B21)&gt;0,1,0)</f>
        <v/>
      </c>
      <c r="T21">
        <f>IF($S21=0,"",IFERROR(INDEX(Draft!$B$5:$B$196,MATCH($B21,Draft!$C$5:$C$196,0)),""))</f>
        <v/>
      </c>
      <c r="U21" t="n">
        <v>8.359999999999999</v>
      </c>
      <c r="V21">
        <f>IF($S21=1,-9999,$U21-ROW()/100000)</f>
        <v/>
      </c>
      <c r="W21">
        <f>IF($S21=1,"",SUMPRODUCT(($D$2:$D$301=$D21)*($V$2:$V$301&gt;$V21))+1)</f>
        <v/>
      </c>
      <c r="X21">
        <f>IF($S21=1,"",$U21-IFERROR(INDEX(Scarcity!$D$5:$D$9,MATCH($D21,Scarcity!$A$5:$A$9,0)),0))</f>
        <v/>
      </c>
    </row>
    <row r="22">
      <c r="A22" t="n">
        <v>21</v>
      </c>
      <c r="B22" t="inlineStr">
        <is>
          <t>Matthew Schaefer</t>
        </is>
      </c>
      <c r="C22" t="inlineStr">
        <is>
          <t>NYI</t>
        </is>
      </c>
      <c r="D22" t="inlineStr">
        <is>
          <t>D</t>
        </is>
      </c>
      <c r="E22" t="inlineStr">
        <is>
          <t>D1</t>
        </is>
      </c>
      <c r="F22" t="inlineStr">
        <is>
          <t>PP1</t>
        </is>
      </c>
      <c r="G22" t="n">
        <v>23.5</v>
      </c>
      <c r="H22" t="n">
        <v>81</v>
      </c>
      <c r="I22" t="n">
        <v>1</v>
      </c>
      <c r="J22" t="n">
        <v>3</v>
      </c>
      <c r="K22" t="n">
        <v>91.59999999999999</v>
      </c>
      <c r="L22" t="n">
        <v>22.6</v>
      </c>
      <c r="M22" t="n">
        <v>23.9</v>
      </c>
      <c r="N22" t="n">
        <v>45.4</v>
      </c>
      <c r="O22" t="n">
        <v>24.4</v>
      </c>
      <c r="P22" t="n">
        <v>259.1</v>
      </c>
      <c r="Q22" t="n">
        <v>42</v>
      </c>
      <c r="R22" t="n">
        <v>111</v>
      </c>
      <c r="S22">
        <f>IF(COUNTIF(Draft!$C$5:$C$196,$B22)&gt;0,1,0)</f>
        <v/>
      </c>
      <c r="T22">
        <f>IF($S22=0,"",IFERROR(INDEX(Draft!$B$5:$B$196,MATCH($B22,Draft!$C$5:$C$196,0)),""))</f>
        <v/>
      </c>
      <c r="U22" t="n">
        <v>8.16</v>
      </c>
      <c r="V22">
        <f>IF($S22=1,-9999,$U22-ROW()/100000)</f>
        <v/>
      </c>
      <c r="W22">
        <f>IF($S22=1,"",SUMPRODUCT(($D$2:$D$301=$D22)*($V$2:$V$301&gt;$V22))+1)</f>
        <v/>
      </c>
      <c r="X22">
        <f>IF($S22=1,"",$U22-IFERROR(INDEX(Scarcity!$D$5:$D$9,MATCH($D22,Scarcity!$A$5:$A$9,0)),0))</f>
        <v/>
      </c>
    </row>
    <row r="23">
      <c r="A23" t="n">
        <v>22</v>
      </c>
      <c r="B23" t="inlineStr">
        <is>
          <t>Kirill Kaprizov</t>
        </is>
      </c>
      <c r="C23" t="inlineStr">
        <is>
          <t>MIN</t>
        </is>
      </c>
      <c r="D23" t="inlineStr">
        <is>
          <t>L</t>
        </is>
      </c>
      <c r="E23" t="inlineStr">
        <is>
          <t>L1</t>
        </is>
      </c>
      <c r="F23" t="inlineStr">
        <is>
          <t>PP1</t>
        </is>
      </c>
      <c r="G23" t="n">
        <v>21</v>
      </c>
      <c r="H23" t="n">
        <v>72</v>
      </c>
      <c r="I23" t="n">
        <v>1</v>
      </c>
      <c r="K23" t="n">
        <v>113.2</v>
      </c>
      <c r="L23" t="n">
        <v>23.8</v>
      </c>
      <c r="M23" t="n">
        <v>40.5</v>
      </c>
      <c r="N23" t="n">
        <v>45.4</v>
      </c>
      <c r="O23" t="n">
        <v>31</v>
      </c>
      <c r="P23" t="n">
        <v>247.5</v>
      </c>
      <c r="Q23" t="n">
        <v>46.6</v>
      </c>
      <c r="R23" t="n">
        <v>27.2</v>
      </c>
      <c r="S23">
        <f>IF(COUNTIF(Draft!$C$5:$C$196,$B23)&gt;0,1,0)</f>
        <v/>
      </c>
      <c r="T23">
        <f>IF($S23=0,"",IFERROR(INDEX(Draft!$B$5:$B$196,MATCH($B23,Draft!$C$5:$C$196,0)),""))</f>
        <v/>
      </c>
      <c r="U23" t="n">
        <v>8.09</v>
      </c>
      <c r="V23">
        <f>IF($S23=1,-9999,$U23-ROW()/100000)</f>
        <v/>
      </c>
      <c r="W23">
        <f>IF($S23=1,"",SUMPRODUCT(($D$2:$D$301=$D23)*($V$2:$V$301&gt;$V23))+1)</f>
        <v/>
      </c>
      <c r="X23">
        <f>IF($S23=1,"",$U23-IFERROR(INDEX(Scarcity!$D$5:$D$9,MATCH($D23,Scarcity!$A$5:$A$9,0)),0))</f>
        <v/>
      </c>
    </row>
    <row r="24">
      <c r="A24" t="n">
        <v>23</v>
      </c>
      <c r="B24" t="inlineStr">
        <is>
          <t>Martin Necas</t>
        </is>
      </c>
      <c r="C24" t="inlineStr">
        <is>
          <t>COL</t>
        </is>
      </c>
      <c r="D24" t="inlineStr">
        <is>
          <t>C</t>
        </is>
      </c>
      <c r="E24" t="inlineStr">
        <is>
          <t>L1</t>
        </is>
      </c>
      <c r="F24" t="inlineStr">
        <is>
          <t>PP1</t>
        </is>
      </c>
      <c r="G24" t="n">
        <v>20.3</v>
      </c>
      <c r="H24" t="n">
        <v>79</v>
      </c>
      <c r="I24" t="n">
        <v>1</v>
      </c>
      <c r="K24" t="n">
        <v>128.8</v>
      </c>
      <c r="L24" t="n">
        <v>35.7</v>
      </c>
      <c r="M24" t="n">
        <v>32.9</v>
      </c>
      <c r="N24" t="n">
        <v>62.5</v>
      </c>
      <c r="O24" t="n">
        <v>28.7</v>
      </c>
      <c r="P24" t="n">
        <v>208.3</v>
      </c>
      <c r="Q24" t="n">
        <v>78.59999999999999</v>
      </c>
      <c r="R24" t="n">
        <v>26.3</v>
      </c>
      <c r="S24">
        <f>IF(COUNTIF(Draft!$C$5:$C$196,$B24)&gt;0,1,0)</f>
        <v/>
      </c>
      <c r="T24">
        <f>IF($S24=0,"",IFERROR(INDEX(Draft!$B$5:$B$196,MATCH($B24,Draft!$C$5:$C$196,0)),""))</f>
        <v/>
      </c>
      <c r="U24" t="n">
        <v>8.08</v>
      </c>
      <c r="V24">
        <f>IF($S24=1,-9999,$U24-ROW()/100000)</f>
        <v/>
      </c>
      <c r="W24">
        <f>IF($S24=1,"",SUMPRODUCT(($D$2:$D$301=$D24)*($V$2:$V$301&gt;$V24))+1)</f>
        <v/>
      </c>
      <c r="X24">
        <f>IF($S24=1,"",$U24-IFERROR(INDEX(Scarcity!$D$5:$D$9,MATCH($D24,Scarcity!$A$5:$A$9,0)),0))</f>
        <v/>
      </c>
    </row>
    <row r="25">
      <c r="A25" t="n">
        <v>24</v>
      </c>
      <c r="B25" t="inlineStr">
        <is>
          <t>Jack Eichel</t>
        </is>
      </c>
      <c r="C25" t="inlineStr">
        <is>
          <t>VGK</t>
        </is>
      </c>
      <c r="D25" t="inlineStr">
        <is>
          <t>C</t>
        </is>
      </c>
      <c r="E25" t="inlineStr">
        <is>
          <t>L1</t>
        </is>
      </c>
      <c r="F25" t="inlineStr">
        <is>
          <t>PP1</t>
        </is>
      </c>
      <c r="G25" t="n">
        <v>20.2</v>
      </c>
      <c r="H25" t="n">
        <v>73</v>
      </c>
      <c r="I25" t="n">
        <v>1</v>
      </c>
      <c r="J25" t="n">
        <v>1</v>
      </c>
      <c r="K25" t="n">
        <v>124.4</v>
      </c>
      <c r="L25" t="n">
        <v>28.6</v>
      </c>
      <c r="M25" t="n">
        <v>28.3</v>
      </c>
      <c r="N25" t="n">
        <v>63.7</v>
      </c>
      <c r="O25" t="n">
        <v>29.7</v>
      </c>
      <c r="P25" t="n">
        <v>246.1</v>
      </c>
      <c r="Q25" t="n">
        <v>31.8</v>
      </c>
      <c r="R25" t="n">
        <v>44.7</v>
      </c>
      <c r="S25">
        <f>IF(COUNTIF(Draft!$C$5:$C$196,$B25)&gt;0,1,0)</f>
        <v/>
      </c>
      <c r="T25">
        <f>IF($S25=0,"",IFERROR(INDEX(Draft!$B$5:$B$196,MATCH($B25,Draft!$C$5:$C$196,0)),""))</f>
        <v/>
      </c>
      <c r="U25" t="n">
        <v>8.07</v>
      </c>
      <c r="V25">
        <f>IF($S25=1,-9999,$U25-ROW()/100000)</f>
        <v/>
      </c>
      <c r="W25">
        <f>IF($S25=1,"",SUMPRODUCT(($D$2:$D$301=$D25)*($V$2:$V$301&gt;$V25))+1)</f>
        <v/>
      </c>
      <c r="X25">
        <f>IF($S25=1,"",$U25-IFERROR(INDEX(Scarcity!$D$5:$D$9,MATCH($D25,Scarcity!$A$5:$A$9,0)),0))</f>
        <v/>
      </c>
    </row>
    <row r="26">
      <c r="A26" t="n">
        <v>25</v>
      </c>
      <c r="B26" t="inlineStr">
        <is>
          <t>Filip Forsberg</t>
        </is>
      </c>
      <c r="C26" t="inlineStr">
        <is>
          <t>NSH</t>
        </is>
      </c>
      <c r="D26" t="inlineStr">
        <is>
          <t>L</t>
        </is>
      </c>
      <c r="E26" t="inlineStr">
        <is>
          <t>L1</t>
        </is>
      </c>
      <c r="F26" t="inlineStr">
        <is>
          <t>PP1</t>
        </is>
      </c>
      <c r="G26" t="n">
        <v>19.1</v>
      </c>
      <c r="H26" t="n">
        <v>79</v>
      </c>
      <c r="I26" t="n">
        <v>1</v>
      </c>
      <c r="K26" t="n">
        <v>94.2</v>
      </c>
      <c r="L26" t="n">
        <v>17.9</v>
      </c>
      <c r="M26" t="n">
        <v>33.4</v>
      </c>
      <c r="N26" t="n">
        <v>38</v>
      </c>
      <c r="O26" t="n">
        <v>26</v>
      </c>
      <c r="P26" t="n">
        <v>241.9</v>
      </c>
      <c r="Q26" t="n">
        <v>125.5</v>
      </c>
      <c r="R26" t="n">
        <v>36.6</v>
      </c>
      <c r="S26">
        <f>IF(COUNTIF(Draft!$C$5:$C$196,$B26)&gt;0,1,0)</f>
        <v/>
      </c>
      <c r="T26">
        <f>IF($S26=0,"",IFERROR(INDEX(Draft!$B$5:$B$196,MATCH($B26,Draft!$C$5:$C$196,0)),""))</f>
        <v/>
      </c>
      <c r="U26" t="n">
        <v>8.050000000000001</v>
      </c>
      <c r="V26">
        <f>IF($S26=1,-9999,$U26-ROW()/100000)</f>
        <v/>
      </c>
      <c r="W26">
        <f>IF($S26=1,"",SUMPRODUCT(($D$2:$D$301=$D26)*($V$2:$V$301&gt;$V26))+1)</f>
        <v/>
      </c>
      <c r="X26">
        <f>IF($S26=1,"",$U26-IFERROR(INDEX(Scarcity!$D$5:$D$9,MATCH($D26,Scarcity!$A$5:$A$9,0)),0))</f>
        <v/>
      </c>
    </row>
    <row r="27">
      <c r="A27" t="n">
        <v>26</v>
      </c>
      <c r="B27" t="inlineStr">
        <is>
          <t>Rasmus Dahlin</t>
        </is>
      </c>
      <c r="C27" t="inlineStr">
        <is>
          <t>BUF</t>
        </is>
      </c>
      <c r="D27" t="inlineStr">
        <is>
          <t>D</t>
        </is>
      </c>
      <c r="E27" t="inlineStr">
        <is>
          <t>D1</t>
        </is>
      </c>
      <c r="F27" t="inlineStr">
        <is>
          <t>PP1</t>
        </is>
      </c>
      <c r="G27" t="n">
        <v>23.8</v>
      </c>
      <c r="H27" t="n">
        <v>79</v>
      </c>
      <c r="I27" t="n">
        <v>1</v>
      </c>
      <c r="J27" t="n">
        <v>3</v>
      </c>
      <c r="K27" t="n">
        <v>102.3</v>
      </c>
      <c r="L27" t="n">
        <v>26.2</v>
      </c>
      <c r="M27" t="n">
        <v>19.1</v>
      </c>
      <c r="N27" t="n">
        <v>58.4</v>
      </c>
      <c r="O27" t="n">
        <v>24.4</v>
      </c>
      <c r="P27" t="n">
        <v>206.3</v>
      </c>
      <c r="Q27" t="n">
        <v>89.8</v>
      </c>
      <c r="R27" t="n">
        <v>95.2</v>
      </c>
      <c r="S27">
        <f>IF(COUNTIF(Draft!$C$5:$C$196,$B27)&gt;0,1,0)</f>
        <v/>
      </c>
      <c r="T27">
        <f>IF($S27=0,"",IFERROR(INDEX(Draft!$B$5:$B$196,MATCH($B27,Draft!$C$5:$C$196,0)),""))</f>
        <v/>
      </c>
      <c r="U27" t="n">
        <v>8.039999999999999</v>
      </c>
      <c r="V27">
        <f>IF($S27=1,-9999,$U27-ROW()/100000)</f>
        <v/>
      </c>
      <c r="W27">
        <f>IF($S27=1,"",SUMPRODUCT(($D$2:$D$301=$D27)*($V$2:$V$301&gt;$V27))+1)</f>
        <v/>
      </c>
      <c r="X27">
        <f>IF($S27=1,"",$U27-IFERROR(INDEX(Scarcity!$D$5:$D$9,MATCH($D27,Scarcity!$A$5:$A$9,0)),0))</f>
        <v/>
      </c>
    </row>
    <row r="28">
      <c r="A28" t="n">
        <v>27</v>
      </c>
      <c r="B28" t="inlineStr">
        <is>
          <t>Sam Reinhart</t>
        </is>
      </c>
      <c r="C28" t="inlineStr">
        <is>
          <t>FLA</t>
        </is>
      </c>
      <c r="D28" t="inlineStr">
        <is>
          <t>C</t>
        </is>
      </c>
      <c r="E28" t="inlineStr">
        <is>
          <t>L1</t>
        </is>
      </c>
      <c r="F28" t="inlineStr">
        <is>
          <t>PP1</t>
        </is>
      </c>
      <c r="G28" t="n">
        <v>20.3</v>
      </c>
      <c r="H28" t="n">
        <v>78</v>
      </c>
      <c r="I28" t="n">
        <v>1</v>
      </c>
      <c r="J28" t="n">
        <v>1</v>
      </c>
      <c r="K28" t="n">
        <v>103</v>
      </c>
      <c r="L28" t="n">
        <v>29.8</v>
      </c>
      <c r="M28" t="n">
        <v>37.8</v>
      </c>
      <c r="N28" t="n">
        <v>40.2</v>
      </c>
      <c r="O28" t="n">
        <v>31</v>
      </c>
      <c r="P28" t="n">
        <v>199.9</v>
      </c>
      <c r="Q28" t="n">
        <v>78.40000000000001</v>
      </c>
      <c r="R28" t="n">
        <v>52.2</v>
      </c>
      <c r="S28">
        <f>IF(COUNTIF(Draft!$C$5:$C$196,$B28)&gt;0,1,0)</f>
        <v/>
      </c>
      <c r="T28">
        <f>IF($S28=0,"",IFERROR(INDEX(Draft!$B$5:$B$196,MATCH($B28,Draft!$C$5:$C$196,0)),""))</f>
        <v/>
      </c>
      <c r="U28" t="n">
        <v>7.96</v>
      </c>
      <c r="V28">
        <f>IF($S28=1,-9999,$U28-ROW()/100000)</f>
        <v/>
      </c>
      <c r="W28">
        <f>IF($S28=1,"",SUMPRODUCT(($D$2:$D$301=$D28)*($V$2:$V$301&gt;$V28))+1)</f>
        <v/>
      </c>
      <c r="X28">
        <f>IF($S28=1,"",$U28-IFERROR(INDEX(Scarcity!$D$5:$D$9,MATCH($D28,Scarcity!$A$5:$A$9,0)),0))</f>
        <v/>
      </c>
    </row>
    <row r="29">
      <c r="A29" t="n">
        <v>28</v>
      </c>
      <c r="B29" t="inlineStr">
        <is>
          <t>Aleksander Barkov</t>
        </is>
      </c>
      <c r="C29" t="inlineStr">
        <is>
          <t>FLA</t>
        </is>
      </c>
      <c r="D29" t="inlineStr">
        <is>
          <t>C</t>
        </is>
      </c>
      <c r="E29" t="inlineStr">
        <is>
          <t>L1</t>
        </is>
      </c>
      <c r="F29" t="inlineStr">
        <is>
          <t>PP1</t>
        </is>
      </c>
      <c r="G29" t="n">
        <v>17.2</v>
      </c>
      <c r="H29" t="n">
        <v>75</v>
      </c>
      <c r="I29" t="n">
        <v>1</v>
      </c>
      <c r="K29" t="n">
        <v>110.9</v>
      </c>
      <c r="L29" t="n">
        <v>29.8</v>
      </c>
      <c r="M29" t="n">
        <v>23.9</v>
      </c>
      <c r="N29" t="n">
        <v>60.1</v>
      </c>
      <c r="O29" t="n">
        <v>31.9</v>
      </c>
      <c r="P29" t="n">
        <v>176.7</v>
      </c>
      <c r="Q29" t="n">
        <v>93.90000000000001</v>
      </c>
      <c r="R29" t="n">
        <v>56.1</v>
      </c>
      <c r="S29">
        <f>IF(COUNTIF(Draft!$C$5:$C$196,$B29)&gt;0,1,0)</f>
        <v/>
      </c>
      <c r="T29">
        <f>IF($S29=0,"",IFERROR(INDEX(Draft!$B$5:$B$196,MATCH($B29,Draft!$C$5:$C$196,0)),""))</f>
        <v/>
      </c>
      <c r="U29" t="n">
        <v>7.9</v>
      </c>
      <c r="V29">
        <f>IF($S29=1,-9999,$U29-ROW()/100000)</f>
        <v/>
      </c>
      <c r="W29">
        <f>IF($S29=1,"",SUMPRODUCT(($D$2:$D$301=$D29)*($V$2:$V$301&gt;$V29))+1)</f>
        <v/>
      </c>
      <c r="X29">
        <f>IF($S29=1,"",$U29-IFERROR(INDEX(Scarcity!$D$5:$D$9,MATCH($D29,Scarcity!$A$5:$A$9,0)),0))</f>
        <v/>
      </c>
    </row>
    <row r="30">
      <c r="A30" t="n">
        <v>29</v>
      </c>
      <c r="B30" t="inlineStr">
        <is>
          <t>Tage Thompson</t>
        </is>
      </c>
      <c r="C30" t="inlineStr">
        <is>
          <t>BUF</t>
        </is>
      </c>
      <c r="D30" t="inlineStr">
        <is>
          <t>C</t>
        </is>
      </c>
      <c r="E30" t="inlineStr">
        <is>
          <t>L1</t>
        </is>
      </c>
      <c r="F30" t="inlineStr">
        <is>
          <t>PP1</t>
        </is>
      </c>
      <c r="G30" t="n">
        <v>18.9</v>
      </c>
      <c r="H30" t="n">
        <v>78</v>
      </c>
      <c r="I30" t="n">
        <v>1</v>
      </c>
      <c r="K30" t="n">
        <v>101.8</v>
      </c>
      <c r="L30" t="n">
        <v>26.2</v>
      </c>
      <c r="M30" t="n">
        <v>38.7</v>
      </c>
      <c r="N30" t="n">
        <v>38.3</v>
      </c>
      <c r="O30" t="n">
        <v>22.7</v>
      </c>
      <c r="P30" t="n">
        <v>255.2</v>
      </c>
      <c r="Q30" t="n">
        <v>79</v>
      </c>
      <c r="R30" t="n">
        <v>41</v>
      </c>
      <c r="S30">
        <f>IF(COUNTIF(Draft!$C$5:$C$196,$B30)&gt;0,1,0)</f>
        <v/>
      </c>
      <c r="T30">
        <f>IF($S30=0,"",IFERROR(INDEX(Draft!$B$5:$B$196,MATCH($B30,Draft!$C$5:$C$196,0)),""))</f>
        <v/>
      </c>
      <c r="U30" t="n">
        <v>7.73</v>
      </c>
      <c r="V30">
        <f>IF($S30=1,-9999,$U30-ROW()/100000)</f>
        <v/>
      </c>
      <c r="W30">
        <f>IF($S30=1,"",SUMPRODUCT(($D$2:$D$301=$D30)*($V$2:$V$301&gt;$V30))+1)</f>
        <v/>
      </c>
      <c r="X30">
        <f>IF($S30=1,"",$U30-IFERROR(INDEX(Scarcity!$D$5:$D$9,MATCH($D30,Scarcity!$A$5:$A$9,0)),0))</f>
        <v/>
      </c>
    </row>
    <row r="31">
      <c r="A31" t="n">
        <v>30</v>
      </c>
      <c r="B31" t="inlineStr">
        <is>
          <t>Alex DeBrincat</t>
        </is>
      </c>
      <c r="C31" t="inlineStr">
        <is>
          <t>DET</t>
        </is>
      </c>
      <c r="D31" t="inlineStr">
        <is>
          <t>R</t>
        </is>
      </c>
      <c r="E31" t="inlineStr">
        <is>
          <t>L2</t>
        </is>
      </c>
      <c r="F31" t="inlineStr">
        <is>
          <t>PP1</t>
        </is>
      </c>
      <c r="G31" t="n">
        <v>17.1</v>
      </c>
      <c r="H31" t="n">
        <v>82</v>
      </c>
      <c r="I31" t="n">
        <v>2</v>
      </c>
      <c r="K31" t="n">
        <v>107</v>
      </c>
      <c r="L31" t="n">
        <v>28.6</v>
      </c>
      <c r="M31" t="n">
        <v>38.9</v>
      </c>
      <c r="N31" t="n">
        <v>42.2</v>
      </c>
      <c r="O31" t="n">
        <v>25.5</v>
      </c>
      <c r="P31" t="n">
        <v>266.5</v>
      </c>
      <c r="Q31" t="n">
        <v>42.2</v>
      </c>
      <c r="R31" t="n">
        <v>38.5</v>
      </c>
      <c r="S31">
        <f>IF(COUNTIF(Draft!$C$5:$C$196,$B31)&gt;0,1,0)</f>
        <v/>
      </c>
      <c r="T31">
        <f>IF($S31=0,"",IFERROR(INDEX(Draft!$B$5:$B$196,MATCH($B31,Draft!$C$5:$C$196,0)),""))</f>
        <v/>
      </c>
      <c r="U31" t="n">
        <v>7.72</v>
      </c>
      <c r="V31">
        <f>IF($S31=1,-9999,$U31-ROW()/100000)</f>
        <v/>
      </c>
      <c r="W31">
        <f>IF($S31=1,"",SUMPRODUCT(($D$2:$D$301=$D31)*($V$2:$V$301&gt;$V31))+1)</f>
        <v/>
      </c>
      <c r="X31">
        <f>IF($S31=1,"",$U31-IFERROR(INDEX(Scarcity!$D$5:$D$9,MATCH($D31,Scarcity!$A$5:$A$9,0)),0))</f>
        <v/>
      </c>
    </row>
    <row r="32">
      <c r="A32" t="n">
        <v>31</v>
      </c>
      <c r="B32" t="inlineStr">
        <is>
          <t>Cole Caufield</t>
        </is>
      </c>
      <c r="C32" t="inlineStr">
        <is>
          <t>MTL</t>
        </is>
      </c>
      <c r="D32" t="inlineStr">
        <is>
          <t>R</t>
        </is>
      </c>
      <c r="E32" t="inlineStr">
        <is>
          <t>L1</t>
        </is>
      </c>
      <c r="F32" t="inlineStr">
        <is>
          <t>PP1</t>
        </is>
      </c>
      <c r="G32" t="n">
        <v>17.6</v>
      </c>
      <c r="H32" t="n">
        <v>79</v>
      </c>
      <c r="I32" t="n">
        <v>1</v>
      </c>
      <c r="K32" t="n">
        <v>106.8</v>
      </c>
      <c r="L32" t="n">
        <v>26.2</v>
      </c>
      <c r="M32" t="n">
        <v>43.5</v>
      </c>
      <c r="N32" t="n">
        <v>37.5</v>
      </c>
      <c r="O32" t="n">
        <v>26.4</v>
      </c>
      <c r="P32" t="n">
        <v>255.6</v>
      </c>
      <c r="Q32" t="n">
        <v>53</v>
      </c>
      <c r="R32" t="n">
        <v>23.9</v>
      </c>
      <c r="S32">
        <f>IF(COUNTIF(Draft!$C$5:$C$196,$B32)&gt;0,1,0)</f>
        <v/>
      </c>
      <c r="T32">
        <f>IF($S32=0,"",IFERROR(INDEX(Draft!$B$5:$B$196,MATCH($B32,Draft!$C$5:$C$196,0)),""))</f>
        <v/>
      </c>
      <c r="U32" t="n">
        <v>7.6</v>
      </c>
      <c r="V32">
        <f>IF($S32=1,-9999,$U32-ROW()/100000)</f>
        <v/>
      </c>
      <c r="W32">
        <f>IF($S32=1,"",SUMPRODUCT(($D$2:$D$301=$D32)*($V$2:$V$301&gt;$V32))+1)</f>
        <v/>
      </c>
      <c r="X32">
        <f>IF($S32=1,"",$U32-IFERROR(INDEX(Scarcity!$D$5:$D$9,MATCH($D32,Scarcity!$A$5:$A$9,0)),0))</f>
        <v/>
      </c>
    </row>
    <row r="33">
      <c r="A33" t="n">
        <v>32</v>
      </c>
      <c r="B33" t="inlineStr">
        <is>
          <t>Juraj Slafkovský</t>
        </is>
      </c>
      <c r="C33" t="inlineStr">
        <is>
          <t>MTL</t>
        </is>
      </c>
      <c r="D33" t="inlineStr">
        <is>
          <t>L</t>
        </is>
      </c>
      <c r="E33" t="inlineStr">
        <is>
          <t>L1</t>
        </is>
      </c>
      <c r="F33" t="inlineStr">
        <is>
          <t>PP1</t>
        </is>
      </c>
      <c r="G33" t="n">
        <v>17.9</v>
      </c>
      <c r="H33" t="n">
        <v>78</v>
      </c>
      <c r="I33" t="n">
        <v>1</v>
      </c>
      <c r="K33" t="n">
        <v>95.09999999999999</v>
      </c>
      <c r="L33" t="n">
        <v>26.2</v>
      </c>
      <c r="M33" t="n">
        <v>27.9</v>
      </c>
      <c r="N33" t="n">
        <v>44.1</v>
      </c>
      <c r="O33" t="n">
        <v>25.1</v>
      </c>
      <c r="P33" t="n">
        <v>174.7</v>
      </c>
      <c r="Q33" t="n">
        <v>125.8</v>
      </c>
      <c r="R33" t="n">
        <v>67.90000000000001</v>
      </c>
      <c r="S33">
        <f>IF(COUNTIF(Draft!$C$5:$C$196,$B33)&gt;0,1,0)</f>
        <v/>
      </c>
      <c r="T33">
        <f>IF($S33=0,"",IFERROR(INDEX(Draft!$B$5:$B$196,MATCH($B33,Draft!$C$5:$C$196,0)),""))</f>
        <v/>
      </c>
      <c r="U33" t="n">
        <v>7.48</v>
      </c>
      <c r="V33">
        <f>IF($S33=1,-9999,$U33-ROW()/100000)</f>
        <v/>
      </c>
      <c r="W33">
        <f>IF($S33=1,"",SUMPRODUCT(($D$2:$D$301=$D33)*($V$2:$V$301&gt;$V33))+1)</f>
        <v/>
      </c>
      <c r="X33">
        <f>IF($S33=1,"",$U33-IFERROR(INDEX(Scarcity!$D$5:$D$9,MATCH($D33,Scarcity!$A$5:$A$9,0)),0))</f>
        <v/>
      </c>
    </row>
    <row r="34">
      <c r="A34" t="n">
        <v>33</v>
      </c>
      <c r="B34" t="inlineStr">
        <is>
          <t>Jake Guentzel</t>
        </is>
      </c>
      <c r="C34" t="inlineStr">
        <is>
          <t>TBL</t>
        </is>
      </c>
      <c r="D34" t="inlineStr">
        <is>
          <t>C</t>
        </is>
      </c>
      <c r="E34" t="inlineStr">
        <is>
          <t>L2</t>
        </is>
      </c>
      <c r="F34" t="inlineStr">
        <is>
          <t>PP1</t>
        </is>
      </c>
      <c r="G34" t="n">
        <v>18.4</v>
      </c>
      <c r="H34" t="n">
        <v>78</v>
      </c>
      <c r="I34" t="n">
        <v>2</v>
      </c>
      <c r="J34" t="n">
        <v>3</v>
      </c>
      <c r="K34" t="n">
        <v>111</v>
      </c>
      <c r="L34" t="n">
        <v>19</v>
      </c>
      <c r="M34" t="n">
        <v>36.6</v>
      </c>
      <c r="N34" t="n">
        <v>47.6</v>
      </c>
      <c r="O34" t="n">
        <v>29.1</v>
      </c>
      <c r="P34" t="n">
        <v>212</v>
      </c>
      <c r="Q34" t="n">
        <v>37.9</v>
      </c>
      <c r="R34" t="n">
        <v>41.3</v>
      </c>
      <c r="S34">
        <f>IF(COUNTIF(Draft!$C$5:$C$196,$B34)&gt;0,1,0)</f>
        <v/>
      </c>
      <c r="T34">
        <f>IF($S34=0,"",IFERROR(INDEX(Draft!$B$5:$B$196,MATCH($B34,Draft!$C$5:$C$196,0)),""))</f>
        <v/>
      </c>
      <c r="U34" t="n">
        <v>7.23</v>
      </c>
      <c r="V34">
        <f>IF($S34=1,-9999,$U34-ROW()/100000)</f>
        <v/>
      </c>
      <c r="W34">
        <f>IF($S34=1,"",SUMPRODUCT(($D$2:$D$301=$D34)*($V$2:$V$301&gt;$V34))+1)</f>
        <v/>
      </c>
      <c r="X34">
        <f>IF($S34=1,"",$U34-IFERROR(INDEX(Scarcity!$D$5:$D$9,MATCH($D34,Scarcity!$A$5:$A$9,0)),0))</f>
        <v/>
      </c>
    </row>
    <row r="35">
      <c r="A35" t="n">
        <v>34</v>
      </c>
      <c r="B35" t="inlineStr">
        <is>
          <t>Kyle Connor</t>
        </is>
      </c>
      <c r="C35" t="inlineStr">
        <is>
          <t>WPG</t>
        </is>
      </c>
      <c r="D35" t="inlineStr">
        <is>
          <t>L</t>
        </is>
      </c>
      <c r="E35" t="inlineStr">
        <is>
          <t>L1</t>
        </is>
      </c>
      <c r="F35" t="inlineStr">
        <is>
          <t>PP1</t>
        </is>
      </c>
      <c r="G35" t="n">
        <v>20.7</v>
      </c>
      <c r="H35" t="n">
        <v>79</v>
      </c>
      <c r="I35" t="n">
        <v>1</v>
      </c>
      <c r="J35" t="n">
        <v>3</v>
      </c>
      <c r="K35" t="n">
        <v>122.4</v>
      </c>
      <c r="L35" t="n">
        <v>27.4</v>
      </c>
      <c r="M35" t="n">
        <v>37.3</v>
      </c>
      <c r="N35" t="n">
        <v>53.3</v>
      </c>
      <c r="O35" t="n">
        <v>22.5</v>
      </c>
      <c r="P35" t="n">
        <v>257.4</v>
      </c>
      <c r="Q35" t="n">
        <v>30.4</v>
      </c>
      <c r="R35" t="n">
        <v>25.3</v>
      </c>
      <c r="S35">
        <f>IF(COUNTIF(Draft!$C$5:$C$196,$B35)&gt;0,1,0)</f>
        <v/>
      </c>
      <c r="T35">
        <f>IF($S35=0,"",IFERROR(INDEX(Draft!$B$5:$B$196,MATCH($B35,Draft!$C$5:$C$196,0)),""))</f>
        <v/>
      </c>
      <c r="U35" t="n">
        <v>7.2</v>
      </c>
      <c r="V35">
        <f>IF($S35=1,-9999,$U35-ROW()/100000)</f>
        <v/>
      </c>
      <c r="W35">
        <f>IF($S35=1,"",SUMPRODUCT(($D$2:$D$301=$D35)*($V$2:$V$301&gt;$V35))+1)</f>
        <v/>
      </c>
      <c r="X35">
        <f>IF($S35=1,"",$U35-IFERROR(INDEX(Scarcity!$D$5:$D$9,MATCH($D35,Scarcity!$A$5:$A$9,0)),0))</f>
        <v/>
      </c>
    </row>
    <row r="36">
      <c r="A36" t="n">
        <v>35</v>
      </c>
      <c r="B36" t="inlineStr">
        <is>
          <t>Jake Sanderson</t>
        </is>
      </c>
      <c r="C36" t="inlineStr">
        <is>
          <t>OTT</t>
        </is>
      </c>
      <c r="D36" t="inlineStr">
        <is>
          <t>D</t>
        </is>
      </c>
      <c r="E36" t="inlineStr">
        <is>
          <t>D1</t>
        </is>
      </c>
      <c r="F36" t="inlineStr">
        <is>
          <t>PP1</t>
        </is>
      </c>
      <c r="G36" t="n">
        <v>23.7</v>
      </c>
      <c r="H36" t="n">
        <v>78</v>
      </c>
      <c r="I36" t="n">
        <v>1</v>
      </c>
      <c r="J36" t="n">
        <v>1</v>
      </c>
      <c r="K36" t="n">
        <v>91.09999999999999</v>
      </c>
      <c r="L36" t="n">
        <v>26.2</v>
      </c>
      <c r="M36" t="n">
        <v>14</v>
      </c>
      <c r="N36" t="n">
        <v>48.4</v>
      </c>
      <c r="O36" t="n">
        <v>27.8</v>
      </c>
      <c r="P36" t="n">
        <v>177.6</v>
      </c>
      <c r="Q36" t="n">
        <v>37.1</v>
      </c>
      <c r="R36" t="n">
        <v>148</v>
      </c>
      <c r="S36">
        <f>IF(COUNTIF(Draft!$C$5:$C$196,$B36)&gt;0,1,0)</f>
        <v/>
      </c>
      <c r="T36">
        <f>IF($S36=0,"",IFERROR(INDEX(Draft!$B$5:$B$196,MATCH($B36,Draft!$C$5:$C$196,0)),""))</f>
        <v/>
      </c>
      <c r="U36" t="n">
        <v>7.19</v>
      </c>
      <c r="V36">
        <f>IF($S36=1,-9999,$U36-ROW()/100000)</f>
        <v/>
      </c>
      <c r="W36">
        <f>IF($S36=1,"",SUMPRODUCT(($D$2:$D$301=$D36)*($V$2:$V$301&gt;$V36))+1)</f>
        <v/>
      </c>
      <c r="X36">
        <f>IF($S36=1,"",$U36-IFERROR(INDEX(Scarcity!$D$5:$D$9,MATCH($D36,Scarcity!$A$5:$A$9,0)),0))</f>
        <v/>
      </c>
    </row>
    <row r="37">
      <c r="A37" t="n">
        <v>36</v>
      </c>
      <c r="B37" t="inlineStr">
        <is>
          <t>Clayton Keller</t>
        </is>
      </c>
      <c r="C37" t="inlineStr">
        <is>
          <t>UTA</t>
        </is>
      </c>
      <c r="D37" t="inlineStr">
        <is>
          <t>R</t>
        </is>
      </c>
      <c r="E37" t="inlineStr">
        <is>
          <t>L1</t>
        </is>
      </c>
      <c r="F37" t="inlineStr">
        <is>
          <t>PP1</t>
        </is>
      </c>
      <c r="G37" t="n">
        <v>18.2</v>
      </c>
      <c r="H37" t="n">
        <v>81</v>
      </c>
      <c r="I37" t="n">
        <v>1</v>
      </c>
      <c r="K37" t="n">
        <v>125.4</v>
      </c>
      <c r="L37" t="n">
        <v>34.5</v>
      </c>
      <c r="M37" t="n">
        <v>29.7</v>
      </c>
      <c r="N37" t="n">
        <v>63.2</v>
      </c>
      <c r="O37" t="n">
        <v>31</v>
      </c>
      <c r="P37" t="n">
        <v>220.1</v>
      </c>
      <c r="Q37" t="n">
        <v>11.1</v>
      </c>
      <c r="R37" t="n">
        <v>31.9</v>
      </c>
      <c r="S37">
        <f>IF(COUNTIF(Draft!$C$5:$C$196,$B37)&gt;0,1,0)</f>
        <v/>
      </c>
      <c r="T37">
        <f>IF($S37=0,"",IFERROR(INDEX(Draft!$B$5:$B$196,MATCH($B37,Draft!$C$5:$C$196,0)),""))</f>
        <v/>
      </c>
      <c r="U37" t="n">
        <v>7.11</v>
      </c>
      <c r="V37">
        <f>IF($S37=1,-9999,$U37-ROW()/100000)</f>
        <v/>
      </c>
      <c r="W37">
        <f>IF($S37=1,"",SUMPRODUCT(($D$2:$D$301=$D37)*($V$2:$V$301&gt;$V37))+1)</f>
        <v/>
      </c>
      <c r="X37">
        <f>IF($S37=1,"",$U37-IFERROR(INDEX(Scarcity!$D$5:$D$9,MATCH($D37,Scarcity!$A$5:$A$9,0)),0))</f>
        <v/>
      </c>
    </row>
    <row r="38">
      <c r="A38" t="n">
        <v>37</v>
      </c>
      <c r="B38" t="inlineStr">
        <is>
          <t>Dylan Cozens</t>
        </is>
      </c>
      <c r="C38" t="inlineStr">
        <is>
          <t>OTT</t>
        </is>
      </c>
      <c r="D38" t="inlineStr">
        <is>
          <t>C</t>
        </is>
      </c>
      <c r="E38" t="inlineStr">
        <is>
          <t>L2</t>
        </is>
      </c>
      <c r="F38" t="inlineStr">
        <is>
          <t>PP1</t>
        </is>
      </c>
      <c r="G38" t="n">
        <v>16.3</v>
      </c>
      <c r="H38" t="n">
        <v>81</v>
      </c>
      <c r="I38" t="n">
        <v>2</v>
      </c>
      <c r="K38" t="n">
        <v>85.3</v>
      </c>
      <c r="L38" t="n">
        <v>26.2</v>
      </c>
      <c r="M38" t="n">
        <v>25.5</v>
      </c>
      <c r="N38" t="n">
        <v>32.9</v>
      </c>
      <c r="O38" t="n">
        <v>24.3</v>
      </c>
      <c r="P38" t="n">
        <v>196.8</v>
      </c>
      <c r="Q38" t="n">
        <v>195.3</v>
      </c>
      <c r="R38" t="n">
        <v>29.9</v>
      </c>
      <c r="S38">
        <f>IF(COUNTIF(Draft!$C$5:$C$196,$B38)&gt;0,1,0)</f>
        <v/>
      </c>
      <c r="T38">
        <f>IF($S38=0,"",IFERROR(INDEX(Draft!$B$5:$B$196,MATCH($B38,Draft!$C$5:$C$196,0)),""))</f>
        <v/>
      </c>
      <c r="U38" t="n">
        <v>7.09</v>
      </c>
      <c r="V38">
        <f>IF($S38=1,-9999,$U38-ROW()/100000)</f>
        <v/>
      </c>
      <c r="W38">
        <f>IF($S38=1,"",SUMPRODUCT(($D$2:$D$301=$D38)*($V$2:$V$301&gt;$V38))+1)</f>
        <v/>
      </c>
      <c r="X38">
        <f>IF($S38=1,"",$U38-IFERROR(INDEX(Scarcity!$D$5:$D$9,MATCH($D38,Scarcity!$A$5:$A$9,0)),0))</f>
        <v/>
      </c>
    </row>
    <row r="39">
      <c r="A39" t="n">
        <v>38</v>
      </c>
      <c r="B39" t="inlineStr">
        <is>
          <t>William Nylander</t>
        </is>
      </c>
      <c r="C39" t="inlineStr">
        <is>
          <t>TOR</t>
        </is>
      </c>
      <c r="D39" t="inlineStr">
        <is>
          <t>R</t>
        </is>
      </c>
      <c r="E39" t="inlineStr">
        <is>
          <t>L1</t>
        </is>
      </c>
      <c r="F39" t="inlineStr">
        <is>
          <t>PP1</t>
        </is>
      </c>
      <c r="G39" t="n">
        <v>18.6</v>
      </c>
      <c r="H39" t="n">
        <v>79</v>
      </c>
      <c r="I39" t="n">
        <v>1</v>
      </c>
      <c r="K39" t="n">
        <v>123.6</v>
      </c>
      <c r="L39" t="n">
        <v>26.2</v>
      </c>
      <c r="M39" t="n">
        <v>36.3</v>
      </c>
      <c r="N39" t="n">
        <v>55.3</v>
      </c>
      <c r="O39" t="n">
        <v>29.4</v>
      </c>
      <c r="P39" t="n">
        <v>214.4</v>
      </c>
      <c r="Q39" t="n">
        <v>16.8</v>
      </c>
      <c r="R39" t="n">
        <v>29.3</v>
      </c>
      <c r="S39">
        <f>IF(COUNTIF(Draft!$C$5:$C$196,$B39)&gt;0,1,0)</f>
        <v/>
      </c>
      <c r="T39">
        <f>IF($S39=0,"",IFERROR(INDEX(Draft!$B$5:$B$196,MATCH($B39,Draft!$C$5:$C$196,0)),""))</f>
        <v/>
      </c>
      <c r="U39" t="n">
        <v>7.03</v>
      </c>
      <c r="V39">
        <f>IF($S39=1,-9999,$U39-ROW()/100000)</f>
        <v/>
      </c>
      <c r="W39">
        <f>IF($S39=1,"",SUMPRODUCT(($D$2:$D$301=$D39)*($V$2:$V$301&gt;$V39))+1)</f>
        <v/>
      </c>
      <c r="X39">
        <f>IF($S39=1,"",$U39-IFERROR(INDEX(Scarcity!$D$5:$D$9,MATCH($D39,Scarcity!$A$5:$A$9,0)),0))</f>
        <v/>
      </c>
    </row>
    <row r="40">
      <c r="A40" t="n">
        <v>39</v>
      </c>
      <c r="B40" t="inlineStr">
        <is>
          <t>Matthew Tkachuk</t>
        </is>
      </c>
      <c r="C40" t="inlineStr">
        <is>
          <t>FLA</t>
        </is>
      </c>
      <c r="D40" t="inlineStr">
        <is>
          <t>L</t>
        </is>
      </c>
      <c r="E40" t="inlineStr">
        <is>
          <t>L2</t>
        </is>
      </c>
      <c r="F40" t="inlineStr">
        <is>
          <t>PP1</t>
        </is>
      </c>
      <c r="G40" t="n">
        <v>17.4</v>
      </c>
      <c r="H40" t="n">
        <v>68</v>
      </c>
      <c r="I40" t="n">
        <v>2</v>
      </c>
      <c r="K40" t="n">
        <v>104.5</v>
      </c>
      <c r="L40" t="n">
        <v>29.8</v>
      </c>
      <c r="M40" t="n">
        <v>28.6</v>
      </c>
      <c r="N40" t="n">
        <v>50.6</v>
      </c>
      <c r="O40" t="n">
        <v>30.4</v>
      </c>
      <c r="P40" t="n">
        <v>207.9</v>
      </c>
      <c r="Q40" t="n">
        <v>86.90000000000001</v>
      </c>
      <c r="R40" t="n">
        <v>18.2</v>
      </c>
      <c r="S40">
        <f>IF(COUNTIF(Draft!$C$5:$C$196,$B40)&gt;0,1,0)</f>
        <v/>
      </c>
      <c r="T40">
        <f>IF($S40=0,"",IFERROR(INDEX(Draft!$B$5:$B$196,MATCH($B40,Draft!$C$5:$C$196,0)),""))</f>
        <v/>
      </c>
      <c r="U40" t="n">
        <v>7</v>
      </c>
      <c r="V40">
        <f>IF($S40=1,-9999,$U40-ROW()/100000)</f>
        <v/>
      </c>
      <c r="W40">
        <f>IF($S40=1,"",SUMPRODUCT(($D$2:$D$301=$D40)*($V$2:$V$301&gt;$V40))+1)</f>
        <v/>
      </c>
      <c r="X40">
        <f>IF($S40=1,"",$U40-IFERROR(INDEX(Scarcity!$D$5:$D$9,MATCH($D40,Scarcity!$A$5:$A$9,0)),0))</f>
        <v/>
      </c>
    </row>
    <row r="41">
      <c r="A41" t="n">
        <v>40</v>
      </c>
      <c r="B41" t="inlineStr">
        <is>
          <t>Mika Zibanejad</t>
        </is>
      </c>
      <c r="C41" t="inlineStr">
        <is>
          <t>NYR</t>
        </is>
      </c>
      <c r="D41" t="inlineStr">
        <is>
          <t>C</t>
        </is>
      </c>
      <c r="E41" t="inlineStr">
        <is>
          <t>L1</t>
        </is>
      </c>
      <c r="F41" t="inlineStr">
        <is>
          <t>PP1</t>
        </is>
      </c>
      <c r="G41" t="n">
        <v>20.5</v>
      </c>
      <c r="H41" t="n">
        <v>79</v>
      </c>
      <c r="I41" t="n">
        <v>1</v>
      </c>
      <c r="J41" t="n">
        <v>1</v>
      </c>
      <c r="K41" t="n">
        <v>93.2</v>
      </c>
      <c r="L41" t="n">
        <v>34.5</v>
      </c>
      <c r="M41" t="n">
        <v>27.3</v>
      </c>
      <c r="N41" t="n">
        <v>43.3</v>
      </c>
      <c r="O41" t="n">
        <v>30.4</v>
      </c>
      <c r="P41" t="n">
        <v>191.6</v>
      </c>
      <c r="Q41" t="n">
        <v>80.2</v>
      </c>
      <c r="R41" t="n">
        <v>46.6</v>
      </c>
      <c r="S41">
        <f>IF(COUNTIF(Draft!$C$5:$C$196,$B41)&gt;0,1,0)</f>
        <v/>
      </c>
      <c r="T41">
        <f>IF($S41=0,"",IFERROR(INDEX(Draft!$B$5:$B$196,MATCH($B41,Draft!$C$5:$C$196,0)),""))</f>
        <v/>
      </c>
      <c r="U41" t="n">
        <v>6.76</v>
      </c>
      <c r="V41">
        <f>IF($S41=1,-9999,$U41-ROW()/100000)</f>
        <v/>
      </c>
      <c r="W41">
        <f>IF($S41=1,"",SUMPRODUCT(($D$2:$D$301=$D41)*($V$2:$V$301&gt;$V41))+1)</f>
        <v/>
      </c>
      <c r="X41">
        <f>IF($S41=1,"",$U41-IFERROR(INDEX(Scarcity!$D$5:$D$9,MATCH($D41,Scarcity!$A$5:$A$9,0)),0))</f>
        <v/>
      </c>
    </row>
    <row r="42">
      <c r="A42" t="n">
        <v>41</v>
      </c>
      <c r="B42" t="inlineStr">
        <is>
          <t>Drake Batherson</t>
        </is>
      </c>
      <c r="C42" t="inlineStr">
        <is>
          <t>OTT</t>
        </is>
      </c>
      <c r="D42" t="inlineStr">
        <is>
          <t>R</t>
        </is>
      </c>
      <c r="E42" t="inlineStr">
        <is>
          <t>L1</t>
        </is>
      </c>
      <c r="F42" t="inlineStr">
        <is>
          <t>PP1</t>
        </is>
      </c>
      <c r="G42" t="n">
        <v>17.7</v>
      </c>
      <c r="H42" t="n">
        <v>79</v>
      </c>
      <c r="I42" t="n">
        <v>1</v>
      </c>
      <c r="K42" t="n">
        <v>91.3</v>
      </c>
      <c r="L42" t="n">
        <v>26.2</v>
      </c>
      <c r="M42" t="n">
        <v>29</v>
      </c>
      <c r="N42" t="n">
        <v>40.3</v>
      </c>
      <c r="O42" t="n">
        <v>30.2</v>
      </c>
      <c r="P42" t="n">
        <v>170.6</v>
      </c>
      <c r="Q42" t="n">
        <v>124.4</v>
      </c>
      <c r="R42" t="n">
        <v>25.7</v>
      </c>
      <c r="S42">
        <f>IF(COUNTIF(Draft!$C$5:$C$196,$B42)&gt;0,1,0)</f>
        <v/>
      </c>
      <c r="T42">
        <f>IF($S42=0,"",IFERROR(INDEX(Draft!$B$5:$B$196,MATCH($B42,Draft!$C$5:$C$196,0)),""))</f>
        <v/>
      </c>
      <c r="U42" t="n">
        <v>6.62</v>
      </c>
      <c r="V42">
        <f>IF($S42=1,-9999,$U42-ROW()/100000)</f>
        <v/>
      </c>
      <c r="W42">
        <f>IF($S42=1,"",SUMPRODUCT(($D$2:$D$301=$D42)*($V$2:$V$301&gt;$V42))+1)</f>
        <v/>
      </c>
      <c r="X42">
        <f>IF($S42=1,"",$U42-IFERROR(INDEX(Scarcity!$D$5:$D$9,MATCH($D42,Scarcity!$A$5:$A$9,0)),0))</f>
        <v/>
      </c>
    </row>
    <row r="43">
      <c r="A43" t="n">
        <v>42</v>
      </c>
      <c r="B43" t="inlineStr">
        <is>
          <t>Beckett Sennecke</t>
        </is>
      </c>
      <c r="C43" t="inlineStr">
        <is>
          <t>ANA</t>
        </is>
      </c>
      <c r="D43" t="inlineStr">
        <is>
          <t>R</t>
        </is>
      </c>
      <c r="E43" t="inlineStr">
        <is>
          <t>L2</t>
        </is>
      </c>
      <c r="F43" t="inlineStr">
        <is>
          <t>PP1</t>
        </is>
      </c>
      <c r="G43" t="n">
        <v>17.9</v>
      </c>
      <c r="H43" t="n">
        <v>81</v>
      </c>
      <c r="I43" t="n">
        <v>2</v>
      </c>
      <c r="K43" t="n">
        <v>101.6</v>
      </c>
      <c r="L43" t="n">
        <v>34.5</v>
      </c>
      <c r="M43" t="n">
        <v>31.5</v>
      </c>
      <c r="N43" t="n">
        <v>45.6</v>
      </c>
      <c r="O43" t="n">
        <v>18.8</v>
      </c>
      <c r="P43" t="n">
        <v>229.2</v>
      </c>
      <c r="Q43" t="n">
        <v>97.59999999999999</v>
      </c>
      <c r="R43" t="n">
        <v>27.9</v>
      </c>
      <c r="S43">
        <f>IF(COUNTIF(Draft!$C$5:$C$196,$B43)&gt;0,1,0)</f>
        <v/>
      </c>
      <c r="T43">
        <f>IF($S43=0,"",IFERROR(INDEX(Draft!$B$5:$B$196,MATCH($B43,Draft!$C$5:$C$196,0)),""))</f>
        <v/>
      </c>
      <c r="U43" t="n">
        <v>6.59</v>
      </c>
      <c r="V43">
        <f>IF($S43=1,-9999,$U43-ROW()/100000)</f>
        <v/>
      </c>
      <c r="W43">
        <f>IF($S43=1,"",SUMPRODUCT(($D$2:$D$301=$D43)*($V$2:$V$301&gt;$V43))+1)</f>
        <v/>
      </c>
      <c r="X43">
        <f>IF($S43=1,"",$U43-IFERROR(INDEX(Scarcity!$D$5:$D$9,MATCH($D43,Scarcity!$A$5:$A$9,0)),0))</f>
        <v/>
      </c>
    </row>
    <row r="44">
      <c r="A44" t="n">
        <v>43</v>
      </c>
      <c r="B44" t="inlineStr">
        <is>
          <t>Lucas Raymond</t>
        </is>
      </c>
      <c r="C44" t="inlineStr">
        <is>
          <t>DET</t>
        </is>
      </c>
      <c r="D44" t="inlineStr">
        <is>
          <t>L</t>
        </is>
      </c>
      <c r="E44" t="inlineStr">
        <is>
          <t>L1</t>
        </is>
      </c>
      <c r="F44" t="inlineStr">
        <is>
          <t>PP1</t>
        </is>
      </c>
      <c r="G44" t="n">
        <v>18.5</v>
      </c>
      <c r="H44" t="n">
        <v>81</v>
      </c>
      <c r="I44" t="n">
        <v>1</v>
      </c>
      <c r="K44" t="n">
        <v>110.5</v>
      </c>
      <c r="L44" t="n">
        <v>28.6</v>
      </c>
      <c r="M44" t="n">
        <v>27.3</v>
      </c>
      <c r="N44" t="n">
        <v>56.4</v>
      </c>
      <c r="O44" t="n">
        <v>31.8</v>
      </c>
      <c r="P44" t="n">
        <v>187.1</v>
      </c>
      <c r="Q44" t="n">
        <v>46</v>
      </c>
      <c r="R44" t="n">
        <v>30.6</v>
      </c>
      <c r="S44">
        <f>IF(COUNTIF(Draft!$C$5:$C$196,$B44)&gt;0,1,0)</f>
        <v/>
      </c>
      <c r="T44">
        <f>IF($S44=0,"",IFERROR(INDEX(Draft!$B$5:$B$196,MATCH($B44,Draft!$C$5:$C$196,0)),""))</f>
        <v/>
      </c>
      <c r="U44" t="n">
        <v>6.56</v>
      </c>
      <c r="V44">
        <f>IF($S44=1,-9999,$U44-ROW()/100000)</f>
        <v/>
      </c>
      <c r="W44">
        <f>IF($S44=1,"",SUMPRODUCT(($D$2:$D$301=$D44)*($V$2:$V$301&gt;$V44))+1)</f>
        <v/>
      </c>
      <c r="X44">
        <f>IF($S44=1,"",$U44-IFERROR(INDEX(Scarcity!$D$5:$D$9,MATCH($D44,Scarcity!$A$5:$A$9,0)),0))</f>
        <v/>
      </c>
    </row>
    <row r="45">
      <c r="A45" t="n">
        <v>44</v>
      </c>
      <c r="B45" t="inlineStr">
        <is>
          <t>Andrei Svechnikov</t>
        </is>
      </c>
      <c r="C45" t="inlineStr">
        <is>
          <t>CAR</t>
        </is>
      </c>
      <c r="D45" t="inlineStr">
        <is>
          <t>R</t>
        </is>
      </c>
      <c r="E45" t="inlineStr">
        <is>
          <t>L1</t>
        </is>
      </c>
      <c r="F45" t="inlineStr">
        <is>
          <t>PP1</t>
        </is>
      </c>
      <c r="G45" t="n">
        <v>17</v>
      </c>
      <c r="H45" t="n">
        <v>75</v>
      </c>
      <c r="I45" t="n">
        <v>1</v>
      </c>
      <c r="K45" t="n">
        <v>87.09999999999999</v>
      </c>
      <c r="L45" t="n">
        <v>26.2</v>
      </c>
      <c r="M45" t="n">
        <v>27.9</v>
      </c>
      <c r="N45" t="n">
        <v>38.1</v>
      </c>
      <c r="O45" t="n">
        <v>26.6</v>
      </c>
      <c r="P45" t="n">
        <v>190.6</v>
      </c>
      <c r="Q45" t="n">
        <v>146.6</v>
      </c>
      <c r="R45" t="n">
        <v>18.7</v>
      </c>
      <c r="S45">
        <f>IF(COUNTIF(Draft!$C$5:$C$196,$B45)&gt;0,1,0)</f>
        <v/>
      </c>
      <c r="T45">
        <f>IF($S45=0,"",IFERROR(INDEX(Draft!$B$5:$B$196,MATCH($B45,Draft!$C$5:$C$196,0)),""))</f>
        <v/>
      </c>
      <c r="U45" t="n">
        <v>6.55</v>
      </c>
      <c r="V45">
        <f>IF($S45=1,-9999,$U45-ROW()/100000)</f>
        <v/>
      </c>
      <c r="W45">
        <f>IF($S45=1,"",SUMPRODUCT(($D$2:$D$301=$D45)*($V$2:$V$301&gt;$V45))+1)</f>
        <v/>
      </c>
      <c r="X45">
        <f>IF($S45=1,"",$U45-IFERROR(INDEX(Scarcity!$D$5:$D$9,MATCH($D45,Scarcity!$A$5:$A$9,0)),0))</f>
        <v/>
      </c>
    </row>
    <row r="46">
      <c r="A46" t="n">
        <v>45</v>
      </c>
      <c r="B46" t="inlineStr">
        <is>
          <t>Sebastian Aho</t>
        </is>
      </c>
      <c r="C46" t="inlineStr">
        <is>
          <t>CAR</t>
        </is>
      </c>
      <c r="D46" t="inlineStr">
        <is>
          <t>C</t>
        </is>
      </c>
      <c r="E46" t="inlineStr">
        <is>
          <t>L1</t>
        </is>
      </c>
      <c r="F46" t="inlineStr">
        <is>
          <t>PP1</t>
        </is>
      </c>
      <c r="G46" t="n">
        <v>19.4</v>
      </c>
      <c r="H46" t="n">
        <v>79</v>
      </c>
      <c r="I46" t="n">
        <v>1</v>
      </c>
      <c r="J46" t="n">
        <v>2</v>
      </c>
      <c r="K46" t="n">
        <v>109.1</v>
      </c>
      <c r="L46" t="n">
        <v>26.2</v>
      </c>
      <c r="M46" t="n">
        <v>29.8</v>
      </c>
      <c r="N46" t="n">
        <v>52.8</v>
      </c>
      <c r="O46" t="n">
        <v>27.3</v>
      </c>
      <c r="P46" t="n">
        <v>198.2</v>
      </c>
      <c r="Q46" t="n">
        <v>60.9</v>
      </c>
      <c r="R46" t="n">
        <v>24.7</v>
      </c>
      <c r="S46">
        <f>IF(COUNTIF(Draft!$C$5:$C$196,$B46)&gt;0,1,0)</f>
        <v/>
      </c>
      <c r="T46">
        <f>IF($S46=0,"",IFERROR(INDEX(Draft!$B$5:$B$196,MATCH($B46,Draft!$C$5:$C$196,0)),""))</f>
        <v/>
      </c>
      <c r="U46" t="n">
        <v>6.44</v>
      </c>
      <c r="V46">
        <f>IF($S46=1,-9999,$U46-ROW()/100000)</f>
        <v/>
      </c>
      <c r="W46">
        <f>IF($S46=1,"",SUMPRODUCT(($D$2:$D$301=$D46)*($V$2:$V$301&gt;$V46))+1)</f>
        <v/>
      </c>
      <c r="X46">
        <f>IF($S46=1,"",$U46-IFERROR(INDEX(Scarcity!$D$5:$D$9,MATCH($D46,Scarcity!$A$5:$A$9,0)),0))</f>
        <v/>
      </c>
    </row>
    <row r="47">
      <c r="A47" t="n">
        <v>46</v>
      </c>
      <c r="B47" t="inlineStr">
        <is>
          <t>Vincent Trocheck</t>
        </is>
      </c>
      <c r="C47" t="inlineStr">
        <is>
          <t>UTA</t>
        </is>
      </c>
      <c r="D47" t="inlineStr">
        <is>
          <t>C</t>
        </is>
      </c>
      <c r="E47" t="inlineStr">
        <is>
          <t>L1</t>
        </is>
      </c>
      <c r="F47" t="inlineStr">
        <is>
          <t>PP2</t>
        </is>
      </c>
      <c r="G47" t="n">
        <v>19.5</v>
      </c>
      <c r="H47" t="n">
        <v>77</v>
      </c>
      <c r="I47" t="n">
        <v>1</v>
      </c>
      <c r="J47" t="n">
        <v>2</v>
      </c>
      <c r="K47" t="n">
        <v>89.2</v>
      </c>
      <c r="L47" t="n">
        <v>34.5</v>
      </c>
      <c r="M47" t="n">
        <v>20.7</v>
      </c>
      <c r="N47" t="n">
        <v>40.3</v>
      </c>
      <c r="O47" t="n">
        <v>17.1</v>
      </c>
      <c r="P47" t="n">
        <v>146.9</v>
      </c>
      <c r="Q47" t="n">
        <v>203</v>
      </c>
      <c r="R47" t="n">
        <v>60.3</v>
      </c>
      <c r="S47">
        <f>IF(COUNTIF(Draft!$C$5:$C$196,$B47)&gt;0,1,0)</f>
        <v/>
      </c>
      <c r="T47">
        <f>IF($S47=0,"",IFERROR(INDEX(Draft!$B$5:$B$196,MATCH($B47,Draft!$C$5:$C$196,0)),""))</f>
        <v/>
      </c>
      <c r="U47" t="n">
        <v>6.44</v>
      </c>
      <c r="V47">
        <f>IF($S47=1,-9999,$U47-ROW()/100000)</f>
        <v/>
      </c>
      <c r="W47">
        <f>IF($S47=1,"",SUMPRODUCT(($D$2:$D$301=$D47)*($V$2:$V$301&gt;$V47))+1)</f>
        <v/>
      </c>
      <c r="X47">
        <f>IF($S47=1,"",$U47-IFERROR(INDEX(Scarcity!$D$5:$D$9,MATCH($D47,Scarcity!$A$5:$A$9,0)),0))</f>
        <v/>
      </c>
    </row>
    <row r="48">
      <c r="A48" t="n">
        <v>47</v>
      </c>
      <c r="B48" t="inlineStr">
        <is>
          <t>Brandon Hagel</t>
        </is>
      </c>
      <c r="C48" t="inlineStr">
        <is>
          <t>TBL</t>
        </is>
      </c>
      <c r="D48" t="inlineStr">
        <is>
          <t>L</t>
        </is>
      </c>
      <c r="E48" t="inlineStr">
        <is>
          <t>L1</t>
        </is>
      </c>
      <c r="F48" t="inlineStr">
        <is>
          <t>PP1</t>
        </is>
      </c>
      <c r="G48" t="n">
        <v>19.2</v>
      </c>
      <c r="H48" t="n">
        <v>80</v>
      </c>
      <c r="I48" t="n">
        <v>1</v>
      </c>
      <c r="J48" t="n">
        <v>2</v>
      </c>
      <c r="K48" t="n">
        <v>112</v>
      </c>
      <c r="L48" t="n">
        <v>19</v>
      </c>
      <c r="M48" t="n">
        <v>36.6</v>
      </c>
      <c r="N48" t="n">
        <v>48.2</v>
      </c>
      <c r="O48" t="n">
        <v>13.4</v>
      </c>
      <c r="P48" t="n">
        <v>225.4</v>
      </c>
      <c r="Q48" t="n">
        <v>51.9</v>
      </c>
      <c r="R48" t="n">
        <v>47.3</v>
      </c>
      <c r="S48">
        <f>IF(COUNTIF(Draft!$C$5:$C$196,$B48)&gt;0,1,0)</f>
        <v/>
      </c>
      <c r="T48">
        <f>IF($S48=0,"",IFERROR(INDEX(Draft!$B$5:$B$196,MATCH($B48,Draft!$C$5:$C$196,0)),""))</f>
        <v/>
      </c>
      <c r="U48" t="n">
        <v>6.29</v>
      </c>
      <c r="V48">
        <f>IF($S48=1,-9999,$U48-ROW()/100000)</f>
        <v/>
      </c>
      <c r="W48">
        <f>IF($S48=1,"",SUMPRODUCT(($D$2:$D$301=$D48)*($V$2:$V$301&gt;$V48))+1)</f>
        <v/>
      </c>
      <c r="X48">
        <f>IF($S48=1,"",$U48-IFERROR(INDEX(Scarcity!$D$5:$D$9,MATCH($D48,Scarcity!$A$5:$A$9,0)),0))</f>
        <v/>
      </c>
    </row>
    <row r="49">
      <c r="A49" t="n">
        <v>48</v>
      </c>
      <c r="B49" t="inlineStr">
        <is>
          <t>Adrian Kempe</t>
        </is>
      </c>
      <c r="C49" t="inlineStr">
        <is>
          <t>LAK</t>
        </is>
      </c>
      <c r="D49" t="inlineStr">
        <is>
          <t>R</t>
        </is>
      </c>
      <c r="E49" t="inlineStr">
        <is>
          <t>L1</t>
        </is>
      </c>
      <c r="F49" t="inlineStr">
        <is>
          <t>PP1</t>
        </is>
      </c>
      <c r="G49" t="n">
        <v>18.2</v>
      </c>
      <c r="H49" t="n">
        <v>80</v>
      </c>
      <c r="I49" t="n">
        <v>1</v>
      </c>
      <c r="K49" t="n">
        <v>93.3</v>
      </c>
      <c r="L49" t="n">
        <v>23.8</v>
      </c>
      <c r="M49" t="n">
        <v>32.4</v>
      </c>
      <c r="N49" t="n">
        <v>38.3</v>
      </c>
      <c r="O49" t="n">
        <v>15.5</v>
      </c>
      <c r="P49" t="n">
        <v>218.7</v>
      </c>
      <c r="Q49" t="n">
        <v>116.3</v>
      </c>
      <c r="R49" t="n">
        <v>36.7</v>
      </c>
      <c r="S49">
        <f>IF(COUNTIF(Draft!$C$5:$C$196,$B49)&gt;0,1,0)</f>
        <v/>
      </c>
      <c r="T49">
        <f>IF($S49=0,"",IFERROR(INDEX(Draft!$B$5:$B$196,MATCH($B49,Draft!$C$5:$C$196,0)),""))</f>
        <v/>
      </c>
      <c r="U49" t="n">
        <v>6.27</v>
      </c>
      <c r="V49">
        <f>IF($S49=1,-9999,$U49-ROW()/100000)</f>
        <v/>
      </c>
      <c r="W49">
        <f>IF($S49=1,"",SUMPRODUCT(($D$2:$D$301=$D49)*($V$2:$V$301&gt;$V49))+1)</f>
        <v/>
      </c>
      <c r="X49">
        <f>IF($S49=1,"",$U49-IFERROR(INDEX(Scarcity!$D$5:$D$9,MATCH($D49,Scarcity!$A$5:$A$9,0)),0))</f>
        <v/>
      </c>
    </row>
    <row r="50">
      <c r="A50" t="n">
        <v>49</v>
      </c>
      <c r="B50" t="inlineStr">
        <is>
          <t>J.T. Miller</t>
        </is>
      </c>
      <c r="C50" t="inlineStr">
        <is>
          <t>NYR</t>
        </is>
      </c>
      <c r="D50" t="inlineStr">
        <is>
          <t>C</t>
        </is>
      </c>
      <c r="E50" t="inlineStr">
        <is>
          <t>L2</t>
        </is>
      </c>
      <c r="F50" t="inlineStr">
        <is>
          <t>PP1</t>
        </is>
      </c>
      <c r="G50" t="n">
        <v>18.7</v>
      </c>
      <c r="H50" t="n">
        <v>75</v>
      </c>
      <c r="I50" t="n">
        <v>2</v>
      </c>
      <c r="J50" t="n">
        <v>1</v>
      </c>
      <c r="K50" t="n">
        <v>90.5</v>
      </c>
      <c r="L50" t="n">
        <v>34.5</v>
      </c>
      <c r="M50" t="n">
        <v>23.3</v>
      </c>
      <c r="N50" t="n">
        <v>45.3</v>
      </c>
      <c r="O50" t="n">
        <v>23.6</v>
      </c>
      <c r="P50" t="n">
        <v>149.9</v>
      </c>
      <c r="Q50" t="n">
        <v>149.5</v>
      </c>
      <c r="R50" t="n">
        <v>42</v>
      </c>
      <c r="S50">
        <f>IF(COUNTIF(Draft!$C$5:$C$196,$B50)&gt;0,1,0)</f>
        <v/>
      </c>
      <c r="T50">
        <f>IF($S50=0,"",IFERROR(INDEX(Draft!$B$5:$B$196,MATCH($B50,Draft!$C$5:$C$196,0)),""))</f>
        <v/>
      </c>
      <c r="U50" t="n">
        <v>6.23</v>
      </c>
      <c r="V50">
        <f>IF($S50=1,-9999,$U50-ROW()/100000)</f>
        <v/>
      </c>
      <c r="W50">
        <f>IF($S50=1,"",SUMPRODUCT(($D$2:$D$301=$D50)*($V$2:$V$301&gt;$V50))+1)</f>
        <v/>
      </c>
      <c r="X50">
        <f>IF($S50=1,"",$U50-IFERROR(INDEX(Scarcity!$D$5:$D$9,MATCH($D50,Scarcity!$A$5:$A$9,0)),0))</f>
        <v/>
      </c>
    </row>
    <row r="51">
      <c r="A51" t="n">
        <v>50</v>
      </c>
      <c r="B51" t="inlineStr">
        <is>
          <t>MacKenzie Weegar</t>
        </is>
      </c>
      <c r="C51" t="inlineStr">
        <is>
          <t>UTA</t>
        </is>
      </c>
      <c r="D51" t="inlineStr">
        <is>
          <t>D</t>
        </is>
      </c>
      <c r="E51" t="inlineStr">
        <is>
          <t>D2</t>
        </is>
      </c>
      <c r="F51" t="inlineStr">
        <is>
          <t>PP2</t>
        </is>
      </c>
      <c r="G51" t="n">
        <v>20.2</v>
      </c>
      <c r="H51" t="n">
        <v>80</v>
      </c>
      <c r="I51" t="n">
        <v>2</v>
      </c>
      <c r="J51" t="n">
        <v>2</v>
      </c>
      <c r="K51" t="n">
        <v>55.9</v>
      </c>
      <c r="L51" t="n">
        <v>34.5</v>
      </c>
      <c r="M51" t="n">
        <v>6.7</v>
      </c>
      <c r="N51" t="n">
        <v>27.2</v>
      </c>
      <c r="O51" t="n">
        <v>9.800000000000001</v>
      </c>
      <c r="P51" t="n">
        <v>154.7</v>
      </c>
      <c r="Q51" t="n">
        <v>179.2</v>
      </c>
      <c r="R51" t="n">
        <v>172.8</v>
      </c>
      <c r="S51">
        <f>IF(COUNTIF(Draft!$C$5:$C$196,$B51)&gt;0,1,0)</f>
        <v/>
      </c>
      <c r="T51">
        <f>IF($S51=0,"",IFERROR(INDEX(Draft!$B$5:$B$196,MATCH($B51,Draft!$C$5:$C$196,0)),""))</f>
        <v/>
      </c>
      <c r="U51" t="n">
        <v>6.21</v>
      </c>
      <c r="V51">
        <f>IF($S51=1,-9999,$U51-ROW()/100000)</f>
        <v/>
      </c>
      <c r="W51">
        <f>IF($S51=1,"",SUMPRODUCT(($D$2:$D$301=$D51)*($V$2:$V$301&gt;$V51))+1)</f>
        <v/>
      </c>
      <c r="X51">
        <f>IF($S51=1,"",$U51-IFERROR(INDEX(Scarcity!$D$5:$D$9,MATCH($D51,Scarcity!$A$5:$A$9,0)),0))</f>
        <v/>
      </c>
    </row>
    <row r="52">
      <c r="A52" t="n">
        <v>51</v>
      </c>
      <c r="B52" t="inlineStr">
        <is>
          <t>Nico Hischier</t>
        </is>
      </c>
      <c r="C52" t="inlineStr">
        <is>
          <t>NJD</t>
        </is>
      </c>
      <c r="D52" t="inlineStr">
        <is>
          <t>C</t>
        </is>
      </c>
      <c r="E52" t="inlineStr">
        <is>
          <t>L2</t>
        </is>
      </c>
      <c r="F52" t="inlineStr">
        <is>
          <t>PP1</t>
        </is>
      </c>
      <c r="G52" t="n">
        <v>18.7</v>
      </c>
      <c r="H52" t="n">
        <v>78</v>
      </c>
      <c r="I52" t="n">
        <v>2</v>
      </c>
      <c r="J52" t="n">
        <v>1</v>
      </c>
      <c r="K52" t="n">
        <v>93</v>
      </c>
      <c r="L52" t="n">
        <v>21.4</v>
      </c>
      <c r="M52" t="n">
        <v>31.5</v>
      </c>
      <c r="N52" t="n">
        <v>39</v>
      </c>
      <c r="O52" t="n">
        <v>24.6</v>
      </c>
      <c r="P52" t="n">
        <v>196.7</v>
      </c>
      <c r="Q52" t="n">
        <v>51.9</v>
      </c>
      <c r="R52" t="n">
        <v>58.1</v>
      </c>
      <c r="S52">
        <f>IF(COUNTIF(Draft!$C$5:$C$196,$B52)&gt;0,1,0)</f>
        <v/>
      </c>
      <c r="T52">
        <f>IF($S52=0,"",IFERROR(INDEX(Draft!$B$5:$B$196,MATCH($B52,Draft!$C$5:$C$196,0)),""))</f>
        <v/>
      </c>
      <c r="U52" t="n">
        <v>6.17</v>
      </c>
      <c r="V52">
        <f>IF($S52=1,-9999,$U52-ROW()/100000)</f>
        <v/>
      </c>
      <c r="W52">
        <f>IF($S52=1,"",SUMPRODUCT(($D$2:$D$301=$D52)*($V$2:$V$301&gt;$V52))+1)</f>
        <v/>
      </c>
      <c r="X52">
        <f>IF($S52=1,"",$U52-IFERROR(INDEX(Scarcity!$D$5:$D$9,MATCH($D52,Scarcity!$A$5:$A$9,0)),0))</f>
        <v/>
      </c>
    </row>
    <row r="53">
      <c r="A53" t="n">
        <v>52</v>
      </c>
      <c r="B53" t="inlineStr">
        <is>
          <t>Dylan Larkin</t>
        </is>
      </c>
      <c r="C53" t="inlineStr">
        <is>
          <t>DET</t>
        </is>
      </c>
      <c r="D53" t="inlineStr">
        <is>
          <t>C</t>
        </is>
      </c>
      <c r="E53" t="inlineStr">
        <is>
          <t>L1</t>
        </is>
      </c>
      <c r="F53" t="inlineStr">
        <is>
          <t>PP1</t>
        </is>
      </c>
      <c r="G53" t="n">
        <v>20</v>
      </c>
      <c r="H53" t="n">
        <v>77</v>
      </c>
      <c r="I53" t="n">
        <v>1</v>
      </c>
      <c r="J53" t="n">
        <v>1</v>
      </c>
      <c r="K53" t="n">
        <v>93.40000000000001</v>
      </c>
      <c r="L53" t="n">
        <v>28.6</v>
      </c>
      <c r="M53" t="n">
        <v>33.5</v>
      </c>
      <c r="N53" t="n">
        <v>37.3</v>
      </c>
      <c r="O53" t="n">
        <v>26.3</v>
      </c>
      <c r="P53" t="n">
        <v>224.4</v>
      </c>
      <c r="Q53" t="n">
        <v>45.8</v>
      </c>
      <c r="R53" t="n">
        <v>33.1</v>
      </c>
      <c r="S53">
        <f>IF(COUNTIF(Draft!$C$5:$C$196,$B53)&gt;0,1,0)</f>
        <v/>
      </c>
      <c r="T53">
        <f>IF($S53=0,"",IFERROR(INDEX(Draft!$B$5:$B$196,MATCH($B53,Draft!$C$5:$C$196,0)),""))</f>
        <v/>
      </c>
      <c r="U53" t="n">
        <v>6.11</v>
      </c>
      <c r="V53">
        <f>IF($S53=1,-9999,$U53-ROW()/100000)</f>
        <v/>
      </c>
      <c r="W53">
        <f>IF($S53=1,"",SUMPRODUCT(($D$2:$D$301=$D53)*($V$2:$V$301&gt;$V53))+1)</f>
        <v/>
      </c>
      <c r="X53">
        <f>IF($S53=1,"",$U53-IFERROR(INDEX(Scarcity!$D$5:$D$9,MATCH($D53,Scarcity!$A$5:$A$9,0)),0))</f>
        <v/>
      </c>
    </row>
    <row r="54">
      <c r="A54" t="n">
        <v>53</v>
      </c>
      <c r="B54" t="inlineStr">
        <is>
          <t>Mitch Marner</t>
        </is>
      </c>
      <c r="C54" t="inlineStr">
        <is>
          <t>VGK</t>
        </is>
      </c>
      <c r="D54" t="inlineStr">
        <is>
          <t>R</t>
        </is>
      </c>
      <c r="E54" t="inlineStr">
        <is>
          <t>L2</t>
        </is>
      </c>
      <c r="F54" t="inlineStr">
        <is>
          <t>PP1</t>
        </is>
      </c>
      <c r="G54" t="n">
        <v>18</v>
      </c>
      <c r="H54" t="n">
        <v>79</v>
      </c>
      <c r="I54" t="n">
        <v>2</v>
      </c>
      <c r="J54" t="n">
        <v>2</v>
      </c>
      <c r="K54" t="n">
        <v>119.2</v>
      </c>
      <c r="L54" t="n">
        <v>28.6</v>
      </c>
      <c r="M54" t="n">
        <v>24.3</v>
      </c>
      <c r="N54" t="n">
        <v>64</v>
      </c>
      <c r="O54" t="n">
        <v>28</v>
      </c>
      <c r="P54" t="n">
        <v>163.6</v>
      </c>
      <c r="Q54" t="n">
        <v>33.7</v>
      </c>
      <c r="R54" t="n">
        <v>44</v>
      </c>
      <c r="S54">
        <f>IF(COUNTIF(Draft!$C$5:$C$196,$B54)&gt;0,1,0)</f>
        <v/>
      </c>
      <c r="T54">
        <f>IF($S54=0,"",IFERROR(INDEX(Draft!$B$5:$B$196,MATCH($B54,Draft!$C$5:$C$196,0)),""))</f>
        <v/>
      </c>
      <c r="U54" t="n">
        <v>6.07</v>
      </c>
      <c r="V54">
        <f>IF($S54=1,-9999,$U54-ROW()/100000)</f>
        <v/>
      </c>
      <c r="W54">
        <f>IF($S54=1,"",SUMPRODUCT(($D$2:$D$301=$D54)*($V$2:$V$301&gt;$V54))+1)</f>
        <v/>
      </c>
      <c r="X54">
        <f>IF($S54=1,"",$U54-IFERROR(INDEX(Scarcity!$D$5:$D$9,MATCH($D54,Scarcity!$A$5:$A$9,0)),0))</f>
        <v/>
      </c>
    </row>
    <row r="55">
      <c r="A55" t="n">
        <v>54</v>
      </c>
      <c r="B55" t="inlineStr">
        <is>
          <t>Tom Wilson</t>
        </is>
      </c>
      <c r="C55" t="inlineStr">
        <is>
          <t>WSH</t>
        </is>
      </c>
      <c r="D55" t="inlineStr">
        <is>
          <t>R</t>
        </is>
      </c>
      <c r="E55" t="inlineStr">
        <is>
          <t>L2</t>
        </is>
      </c>
      <c r="F55" t="inlineStr">
        <is>
          <t>PP1</t>
        </is>
      </c>
      <c r="G55" t="n">
        <v>17.5</v>
      </c>
      <c r="H55" t="n">
        <v>75</v>
      </c>
      <c r="I55" t="n">
        <v>2</v>
      </c>
      <c r="J55" t="n">
        <v>1</v>
      </c>
      <c r="K55" t="n">
        <v>86.40000000000001</v>
      </c>
      <c r="L55" t="n">
        <v>32.1</v>
      </c>
      <c r="M55" t="n">
        <v>27.8</v>
      </c>
      <c r="N55" t="n">
        <v>31.4</v>
      </c>
      <c r="O55" t="n">
        <v>13.5</v>
      </c>
      <c r="P55" t="n">
        <v>150.7</v>
      </c>
      <c r="Q55" t="n">
        <v>194.3</v>
      </c>
      <c r="R55" t="n">
        <v>58.2</v>
      </c>
      <c r="S55">
        <f>IF(COUNTIF(Draft!$C$5:$C$196,$B55)&gt;0,1,0)</f>
        <v/>
      </c>
      <c r="T55">
        <f>IF($S55=0,"",IFERROR(INDEX(Draft!$B$5:$B$196,MATCH($B55,Draft!$C$5:$C$196,0)),""))</f>
        <v/>
      </c>
      <c r="U55" t="n">
        <v>6.04</v>
      </c>
      <c r="V55">
        <f>IF($S55=1,-9999,$U55-ROW()/100000)</f>
        <v/>
      </c>
      <c r="W55">
        <f>IF($S55=1,"",SUMPRODUCT(($D$2:$D$301=$D55)*($V$2:$V$301&gt;$V55))+1)</f>
        <v/>
      </c>
      <c r="X55">
        <f>IF($S55=1,"",$U55-IFERROR(INDEX(Scarcity!$D$5:$D$9,MATCH($D55,Scarcity!$A$5:$A$9,0)),0))</f>
        <v/>
      </c>
    </row>
    <row r="56">
      <c r="A56" t="n">
        <v>55</v>
      </c>
      <c r="B56" t="inlineStr">
        <is>
          <t>Dylan Guenther</t>
        </is>
      </c>
      <c r="C56" t="inlineStr">
        <is>
          <t>UTA</t>
        </is>
      </c>
      <c r="D56" t="inlineStr">
        <is>
          <t>R</t>
        </is>
      </c>
      <c r="E56" t="inlineStr">
        <is>
          <t>L2</t>
        </is>
      </c>
      <c r="F56" t="inlineStr">
        <is>
          <t>PP1</t>
        </is>
      </c>
      <c r="G56" t="n">
        <v>16.6</v>
      </c>
      <c r="H56" t="n">
        <v>69</v>
      </c>
      <c r="I56" t="n">
        <v>2</v>
      </c>
      <c r="K56" t="n">
        <v>90.3</v>
      </c>
      <c r="L56" t="n">
        <v>34.5</v>
      </c>
      <c r="M56" t="n">
        <v>34.2</v>
      </c>
      <c r="N56" t="n">
        <v>34.2</v>
      </c>
      <c r="O56" t="n">
        <v>26</v>
      </c>
      <c r="P56" t="n">
        <v>221.1</v>
      </c>
      <c r="Q56" t="n">
        <v>56.4</v>
      </c>
      <c r="R56" t="n">
        <v>29.6</v>
      </c>
      <c r="S56">
        <f>IF(COUNTIF(Draft!$C$5:$C$196,$B56)&gt;0,1,0)</f>
        <v/>
      </c>
      <c r="T56">
        <f>IF($S56=0,"",IFERROR(INDEX(Draft!$B$5:$B$196,MATCH($B56,Draft!$C$5:$C$196,0)),""))</f>
        <v/>
      </c>
      <c r="U56" t="n">
        <v>6</v>
      </c>
      <c r="V56">
        <f>IF($S56=1,-9999,$U56-ROW()/100000)</f>
        <v/>
      </c>
      <c r="W56">
        <f>IF($S56=1,"",SUMPRODUCT(($D$2:$D$301=$D56)*($V$2:$V$301&gt;$V56))+1)</f>
        <v/>
      </c>
      <c r="X56">
        <f>IF($S56=1,"",$U56-IFERROR(INDEX(Scarcity!$D$5:$D$9,MATCH($D56,Scarcity!$A$5:$A$9,0)),0))</f>
        <v/>
      </c>
    </row>
    <row r="57">
      <c r="A57" t="n">
        <v>56</v>
      </c>
      <c r="B57" t="inlineStr">
        <is>
          <t>Anton Frondell</t>
        </is>
      </c>
      <c r="C57" t="inlineStr">
        <is>
          <t>CHI</t>
        </is>
      </c>
      <c r="D57" t="inlineStr">
        <is>
          <t>C</t>
        </is>
      </c>
      <c r="E57" t="inlineStr">
        <is>
          <t>L1</t>
        </is>
      </c>
      <c r="F57" t="inlineStr">
        <is>
          <t>PP1</t>
        </is>
      </c>
      <c r="G57" t="n">
        <v>18.4</v>
      </c>
      <c r="H57" t="n">
        <v>79</v>
      </c>
      <c r="I57" t="n">
        <v>1</v>
      </c>
      <c r="K57" t="n">
        <v>67.2</v>
      </c>
      <c r="L57" t="n">
        <v>29.8</v>
      </c>
      <c r="M57" t="n">
        <v>33</v>
      </c>
      <c r="N57" t="n">
        <v>13</v>
      </c>
      <c r="O57" t="n">
        <v>16</v>
      </c>
      <c r="P57" t="n">
        <v>287</v>
      </c>
      <c r="Q57" t="n">
        <v>108</v>
      </c>
      <c r="R57" t="n">
        <v>43</v>
      </c>
      <c r="S57">
        <f>IF(COUNTIF(Draft!$C$5:$C$196,$B57)&gt;0,1,0)</f>
        <v/>
      </c>
      <c r="T57">
        <f>IF($S57=0,"",IFERROR(INDEX(Draft!$B$5:$B$196,MATCH($B57,Draft!$C$5:$C$196,0)),""))</f>
        <v/>
      </c>
      <c r="U57" t="n">
        <v>6</v>
      </c>
      <c r="V57">
        <f>IF($S57=1,-9999,$U57-ROW()/100000)</f>
        <v/>
      </c>
      <c r="W57">
        <f>IF($S57=1,"",SUMPRODUCT(($D$2:$D$301=$D57)*($V$2:$V$301&gt;$V57))+1)</f>
        <v/>
      </c>
      <c r="X57">
        <f>IF($S57=1,"",$U57-IFERROR(INDEX(Scarcity!$D$5:$D$9,MATCH($D57,Scarcity!$A$5:$A$9,0)),0))</f>
        <v/>
      </c>
    </row>
    <row r="58">
      <c r="A58" t="n">
        <v>57</v>
      </c>
      <c r="B58" t="inlineStr">
        <is>
          <t>Mark Scheifele</t>
        </is>
      </c>
      <c r="C58" t="inlineStr">
        <is>
          <t>WPG</t>
        </is>
      </c>
      <c r="D58" t="inlineStr">
        <is>
          <t>C</t>
        </is>
      </c>
      <c r="E58" t="inlineStr">
        <is>
          <t>L1</t>
        </is>
      </c>
      <c r="F58" t="inlineStr">
        <is>
          <t>PP1</t>
        </is>
      </c>
      <c r="G58" t="n">
        <v>20.5</v>
      </c>
      <c r="H58" t="n">
        <v>77</v>
      </c>
      <c r="I58" t="n">
        <v>1</v>
      </c>
      <c r="K58" t="n">
        <v>121.4</v>
      </c>
      <c r="L58" t="n">
        <v>27.4</v>
      </c>
      <c r="M58" t="n">
        <v>32</v>
      </c>
      <c r="N58" t="n">
        <v>58</v>
      </c>
      <c r="O58" t="n">
        <v>22</v>
      </c>
      <c r="P58" t="n">
        <v>160.5</v>
      </c>
      <c r="Q58" t="n">
        <v>41.8</v>
      </c>
      <c r="R58" t="n">
        <v>45.2</v>
      </c>
      <c r="S58">
        <f>IF(COUNTIF(Draft!$C$5:$C$196,$B58)&gt;0,1,0)</f>
        <v/>
      </c>
      <c r="T58">
        <f>IF($S58=0,"",IFERROR(INDEX(Draft!$B$5:$B$196,MATCH($B58,Draft!$C$5:$C$196,0)),""))</f>
        <v/>
      </c>
      <c r="U58" t="n">
        <v>5.96</v>
      </c>
      <c r="V58">
        <f>IF($S58=1,-9999,$U58-ROW()/100000)</f>
        <v/>
      </c>
      <c r="W58">
        <f>IF($S58=1,"",SUMPRODUCT(($D$2:$D$301=$D58)*($V$2:$V$301&gt;$V58))+1)</f>
        <v/>
      </c>
      <c r="X58">
        <f>IF($S58=1,"",$U58-IFERROR(INDEX(Scarcity!$D$5:$D$9,MATCH($D58,Scarcity!$A$5:$A$9,0)),0))</f>
        <v/>
      </c>
    </row>
    <row r="59">
      <c r="A59" t="n">
        <v>58</v>
      </c>
      <c r="B59" t="inlineStr">
        <is>
          <t>Sidney Crosby</t>
        </is>
      </c>
      <c r="C59" t="inlineStr">
        <is>
          <t>PIT</t>
        </is>
      </c>
      <c r="D59" t="inlineStr">
        <is>
          <t>C</t>
        </is>
      </c>
      <c r="E59" t="inlineStr">
        <is>
          <t>L1</t>
        </is>
      </c>
      <c r="F59" t="inlineStr">
        <is>
          <t>PP1</t>
        </is>
      </c>
      <c r="G59" t="n">
        <v>19.2</v>
      </c>
      <c r="H59" t="n">
        <v>68</v>
      </c>
      <c r="I59" t="n">
        <v>1</v>
      </c>
      <c r="K59" t="n">
        <v>106</v>
      </c>
      <c r="L59" t="n">
        <v>32.1</v>
      </c>
      <c r="M59" t="n">
        <v>29.3</v>
      </c>
      <c r="N59" t="n">
        <v>51.1</v>
      </c>
      <c r="O59" t="n">
        <v>25</v>
      </c>
      <c r="P59" t="n">
        <v>185</v>
      </c>
      <c r="Q59" t="n">
        <v>60</v>
      </c>
      <c r="R59" t="n">
        <v>30.6</v>
      </c>
      <c r="S59">
        <f>IF(COUNTIF(Draft!$C$5:$C$196,$B59)&gt;0,1,0)</f>
        <v/>
      </c>
      <c r="T59">
        <f>IF($S59=0,"",IFERROR(INDEX(Draft!$B$5:$B$196,MATCH($B59,Draft!$C$5:$C$196,0)),""))</f>
        <v/>
      </c>
      <c r="U59" t="n">
        <v>5.94</v>
      </c>
      <c r="V59">
        <f>IF($S59=1,-9999,$U59-ROW()/100000)</f>
        <v/>
      </c>
      <c r="W59">
        <f>IF($S59=1,"",SUMPRODUCT(($D$2:$D$301=$D59)*($V$2:$V$301&gt;$V59))+1)</f>
        <v/>
      </c>
      <c r="X59">
        <f>IF($S59=1,"",$U59-IFERROR(INDEX(Scarcity!$D$5:$D$9,MATCH($D59,Scarcity!$A$5:$A$9,0)),0))</f>
        <v/>
      </c>
    </row>
    <row r="60">
      <c r="A60" t="n">
        <v>59</v>
      </c>
      <c r="B60" t="inlineStr">
        <is>
          <t>Kirill Marchenko</t>
        </is>
      </c>
      <c r="C60" t="inlineStr">
        <is>
          <t>CBJ</t>
        </is>
      </c>
      <c r="D60" t="inlineStr">
        <is>
          <t>R</t>
        </is>
      </c>
      <c r="E60" t="inlineStr">
        <is>
          <t>L1</t>
        </is>
      </c>
      <c r="F60" t="inlineStr">
        <is>
          <t>PP1</t>
        </is>
      </c>
      <c r="G60" t="n">
        <v>18.2</v>
      </c>
      <c r="H60" t="n">
        <v>78</v>
      </c>
      <c r="I60" t="n">
        <v>1</v>
      </c>
      <c r="K60" t="n">
        <v>93</v>
      </c>
      <c r="L60" t="n">
        <v>20.2</v>
      </c>
      <c r="M60" t="n">
        <v>29.5</v>
      </c>
      <c r="N60" t="n">
        <v>41</v>
      </c>
      <c r="O60" t="n">
        <v>22.7</v>
      </c>
      <c r="P60" t="n">
        <v>212.5</v>
      </c>
      <c r="Q60" t="n">
        <v>59.9</v>
      </c>
      <c r="R60" t="n">
        <v>40.2</v>
      </c>
      <c r="S60">
        <f>IF(COUNTIF(Draft!$C$5:$C$196,$B60)&gt;0,1,0)</f>
        <v/>
      </c>
      <c r="T60">
        <f>IF($S60=0,"",IFERROR(INDEX(Draft!$B$5:$B$196,MATCH($B60,Draft!$C$5:$C$196,0)),""))</f>
        <v/>
      </c>
      <c r="U60" t="n">
        <v>5.82</v>
      </c>
      <c r="V60">
        <f>IF($S60=1,-9999,$U60-ROW()/100000)</f>
        <v/>
      </c>
      <c r="W60">
        <f>IF($S60=1,"",SUMPRODUCT(($D$2:$D$301=$D60)*($V$2:$V$301&gt;$V60))+1)</f>
        <v/>
      </c>
      <c r="X60">
        <f>IF($S60=1,"",$U60-IFERROR(INDEX(Scarcity!$D$5:$D$9,MATCH($D60,Scarcity!$A$5:$A$9,0)),0))</f>
        <v/>
      </c>
    </row>
    <row r="61">
      <c r="A61" t="n">
        <v>60</v>
      </c>
      <c r="B61" t="inlineStr">
        <is>
          <t>Jesper Bratt</t>
        </is>
      </c>
      <c r="C61" t="inlineStr">
        <is>
          <t>NJD</t>
        </is>
      </c>
      <c r="D61" t="inlineStr">
        <is>
          <t>L</t>
        </is>
      </c>
      <c r="E61" t="inlineStr">
        <is>
          <t>L1</t>
        </is>
      </c>
      <c r="F61" t="inlineStr">
        <is>
          <t>PP1</t>
        </is>
      </c>
      <c r="G61" t="n">
        <v>18.1</v>
      </c>
      <c r="H61" t="n">
        <v>81</v>
      </c>
      <c r="I61" t="n">
        <v>1</v>
      </c>
      <c r="J61" t="n">
        <v>2</v>
      </c>
      <c r="K61" t="n">
        <v>103.4</v>
      </c>
      <c r="L61" t="n">
        <v>21.4</v>
      </c>
      <c r="M61" t="n">
        <v>22.9</v>
      </c>
      <c r="N61" t="n">
        <v>55.3</v>
      </c>
      <c r="O61" t="n">
        <v>24.9</v>
      </c>
      <c r="P61" t="n">
        <v>180.3</v>
      </c>
      <c r="Q61" t="n">
        <v>76.09999999999999</v>
      </c>
      <c r="R61" t="n">
        <v>29.1</v>
      </c>
      <c r="S61">
        <f>IF(COUNTIF(Draft!$C$5:$C$196,$B61)&gt;0,1,0)</f>
        <v/>
      </c>
      <c r="T61">
        <f>IF($S61=0,"",IFERROR(INDEX(Draft!$B$5:$B$196,MATCH($B61,Draft!$C$5:$C$196,0)),""))</f>
        <v/>
      </c>
      <c r="U61" t="n">
        <v>5.74</v>
      </c>
      <c r="V61">
        <f>IF($S61=1,-9999,$U61-ROW()/100000)</f>
        <v/>
      </c>
      <c r="W61">
        <f>IF($S61=1,"",SUMPRODUCT(($D$2:$D$301=$D61)*($V$2:$V$301&gt;$V61))+1)</f>
        <v/>
      </c>
      <c r="X61">
        <f>IF($S61=1,"",$U61-IFERROR(INDEX(Scarcity!$D$5:$D$9,MATCH($D61,Scarcity!$A$5:$A$9,0)),0))</f>
        <v/>
      </c>
    </row>
    <row r="62">
      <c r="A62" t="n">
        <v>61</v>
      </c>
      <c r="B62" t="inlineStr">
        <is>
          <t>Kiefer Sherwood</t>
        </is>
      </c>
      <c r="C62" t="inlineStr">
        <is>
          <t>SJS</t>
        </is>
      </c>
      <c r="D62" t="inlineStr">
        <is>
          <t>L</t>
        </is>
      </c>
      <c r="E62" t="inlineStr">
        <is>
          <t>L2</t>
        </is>
      </c>
      <c r="F62" t="inlineStr">
        <is>
          <t>PP2</t>
        </is>
      </c>
      <c r="G62" t="n">
        <v>17.2</v>
      </c>
      <c r="H62" t="n">
        <v>74</v>
      </c>
      <c r="I62" t="n">
        <v>2</v>
      </c>
      <c r="J62" t="n">
        <v>2</v>
      </c>
      <c r="K62" t="n">
        <v>55</v>
      </c>
      <c r="L62" t="n">
        <v>31</v>
      </c>
      <c r="M62" t="n">
        <v>18.3</v>
      </c>
      <c r="N62" t="n">
        <v>15</v>
      </c>
      <c r="O62" t="n">
        <v>8.1</v>
      </c>
      <c r="P62" t="n">
        <v>149.5</v>
      </c>
      <c r="Q62" t="n">
        <v>354.8</v>
      </c>
      <c r="R62" t="n">
        <v>29.8</v>
      </c>
      <c r="S62">
        <f>IF(COUNTIF(Draft!$C$5:$C$196,$B62)&gt;0,1,0)</f>
        <v/>
      </c>
      <c r="T62">
        <f>IF($S62=0,"",IFERROR(INDEX(Draft!$B$5:$B$196,MATCH($B62,Draft!$C$5:$C$196,0)),""))</f>
        <v/>
      </c>
      <c r="U62" t="n">
        <v>5.73</v>
      </c>
      <c r="V62">
        <f>IF($S62=1,-9999,$U62-ROW()/100000)</f>
        <v/>
      </c>
      <c r="W62">
        <f>IF($S62=1,"",SUMPRODUCT(($D$2:$D$301=$D62)*($V$2:$V$301&gt;$V62))+1)</f>
        <v/>
      </c>
      <c r="X62">
        <f>IF($S62=1,"",$U62-IFERROR(INDEX(Scarcity!$D$5:$D$9,MATCH($D62,Scarcity!$A$5:$A$9,0)),0))</f>
        <v/>
      </c>
    </row>
    <row r="63">
      <c r="A63" t="n">
        <v>62</v>
      </c>
      <c r="B63" t="inlineStr">
        <is>
          <t>Elias Pettersson</t>
        </is>
      </c>
      <c r="C63" t="inlineStr">
        <is>
          <t>VAN</t>
        </is>
      </c>
      <c r="D63" t="inlineStr">
        <is>
          <t>C</t>
        </is>
      </c>
      <c r="E63" t="inlineStr">
        <is>
          <t>L1</t>
        </is>
      </c>
      <c r="F63" t="inlineStr">
        <is>
          <t>PP1</t>
        </is>
      </c>
      <c r="G63" t="n">
        <v>20.3</v>
      </c>
      <c r="H63" t="n">
        <v>77</v>
      </c>
      <c r="I63" t="n">
        <v>1</v>
      </c>
      <c r="J63" t="n">
        <v>1</v>
      </c>
      <c r="K63" t="n">
        <v>89.40000000000001</v>
      </c>
      <c r="L63" t="n">
        <v>31</v>
      </c>
      <c r="M63" t="n">
        <v>20.1</v>
      </c>
      <c r="N63" t="n">
        <v>41.2</v>
      </c>
      <c r="O63" t="n">
        <v>23.7</v>
      </c>
      <c r="P63" t="n">
        <v>140.8</v>
      </c>
      <c r="Q63" t="n">
        <v>78.3</v>
      </c>
      <c r="R63" t="n">
        <v>99.90000000000001</v>
      </c>
      <c r="S63">
        <f>IF(COUNTIF(Draft!$C$5:$C$196,$B63)&gt;0,1,0)</f>
        <v/>
      </c>
      <c r="T63">
        <f>IF($S63=0,"",IFERROR(INDEX(Draft!$B$5:$B$196,MATCH($B63,Draft!$C$5:$C$196,0)),""))</f>
        <v/>
      </c>
      <c r="U63" t="n">
        <v>5.71</v>
      </c>
      <c r="V63">
        <f>IF($S63=1,-9999,$U63-ROW()/100000)</f>
        <v/>
      </c>
      <c r="W63">
        <f>IF($S63=1,"",SUMPRODUCT(($D$2:$D$301=$D63)*($V$2:$V$301&gt;$V63))+1)</f>
        <v/>
      </c>
      <c r="X63">
        <f>IF($S63=1,"",$U63-IFERROR(INDEX(Scarcity!$D$5:$D$9,MATCH($D63,Scarcity!$A$5:$A$9,0)),0))</f>
        <v/>
      </c>
    </row>
    <row r="64">
      <c r="A64" t="n">
        <v>63</v>
      </c>
      <c r="B64" t="inlineStr">
        <is>
          <t>Timo Meier</t>
        </is>
      </c>
      <c r="C64" t="inlineStr">
        <is>
          <t>NJD</t>
        </is>
      </c>
      <c r="D64" t="inlineStr">
        <is>
          <t>R</t>
        </is>
      </c>
      <c r="E64" t="inlineStr">
        <is>
          <t>L2</t>
        </is>
      </c>
      <c r="F64" t="inlineStr">
        <is>
          <t>PP2</t>
        </is>
      </c>
      <c r="G64" t="n">
        <v>17.3</v>
      </c>
      <c r="H64" t="n">
        <v>78</v>
      </c>
      <c r="I64" t="n">
        <v>2</v>
      </c>
      <c r="K64" t="n">
        <v>73</v>
      </c>
      <c r="L64" t="n">
        <v>21.4</v>
      </c>
      <c r="M64" t="n">
        <v>27.5</v>
      </c>
      <c r="N64" t="n">
        <v>22.4</v>
      </c>
      <c r="O64" t="n">
        <v>12.2</v>
      </c>
      <c r="P64" t="n">
        <v>245.3</v>
      </c>
      <c r="Q64" t="n">
        <v>132.3</v>
      </c>
      <c r="R64" t="n">
        <v>53.7</v>
      </c>
      <c r="S64">
        <f>IF(COUNTIF(Draft!$C$5:$C$196,$B64)&gt;0,1,0)</f>
        <v/>
      </c>
      <c r="T64">
        <f>IF($S64=0,"",IFERROR(INDEX(Draft!$B$5:$B$196,MATCH($B64,Draft!$C$5:$C$196,0)),""))</f>
        <v/>
      </c>
      <c r="U64" t="n">
        <v>5.66</v>
      </c>
      <c r="V64">
        <f>IF($S64=1,-9999,$U64-ROW()/100000)</f>
        <v/>
      </c>
      <c r="W64">
        <f>IF($S64=1,"",SUMPRODUCT(($D$2:$D$301=$D64)*($V$2:$V$301&gt;$V64))+1)</f>
        <v/>
      </c>
      <c r="X64">
        <f>IF($S64=1,"",$U64-IFERROR(INDEX(Scarcity!$D$5:$D$9,MATCH($D64,Scarcity!$A$5:$A$9,0)),0))</f>
        <v/>
      </c>
    </row>
    <row r="65">
      <c r="A65" t="n">
        <v>64</v>
      </c>
      <c r="B65" t="inlineStr">
        <is>
          <t>Matthew Knies</t>
        </is>
      </c>
      <c r="C65" t="inlineStr">
        <is>
          <t>TOR</t>
        </is>
      </c>
      <c r="D65" t="inlineStr">
        <is>
          <t>L</t>
        </is>
      </c>
      <c r="E65" t="inlineStr">
        <is>
          <t>L1</t>
        </is>
      </c>
      <c r="F65" t="inlineStr">
        <is>
          <t>PP1</t>
        </is>
      </c>
      <c r="G65" t="n">
        <v>18.3</v>
      </c>
      <c r="H65" t="n">
        <v>80</v>
      </c>
      <c r="I65" t="n">
        <v>1</v>
      </c>
      <c r="J65" t="n">
        <v>2</v>
      </c>
      <c r="K65" t="n">
        <v>89.90000000000001</v>
      </c>
      <c r="L65" t="n">
        <v>26.2</v>
      </c>
      <c r="M65" t="n">
        <v>25.6</v>
      </c>
      <c r="N65" t="n">
        <v>42.5</v>
      </c>
      <c r="O65" t="n">
        <v>17.3</v>
      </c>
      <c r="P65" t="n">
        <v>148.7</v>
      </c>
      <c r="Q65" t="n">
        <v>162.9</v>
      </c>
      <c r="R65" t="n">
        <v>35.3</v>
      </c>
      <c r="S65">
        <f>IF(COUNTIF(Draft!$C$5:$C$196,$B65)&gt;0,1,0)</f>
        <v/>
      </c>
      <c r="T65">
        <f>IF($S65=0,"",IFERROR(INDEX(Draft!$B$5:$B$196,MATCH($B65,Draft!$C$5:$C$196,0)),""))</f>
        <v/>
      </c>
      <c r="U65" t="n">
        <v>5.65</v>
      </c>
      <c r="V65">
        <f>IF($S65=1,-9999,$U65-ROW()/100000)</f>
        <v/>
      </c>
      <c r="W65">
        <f>IF($S65=1,"",SUMPRODUCT(($D$2:$D$301=$D65)*($V$2:$V$301&gt;$V65))+1)</f>
        <v/>
      </c>
      <c r="X65">
        <f>IF($S65=1,"",$U65-IFERROR(INDEX(Scarcity!$D$5:$D$9,MATCH($D65,Scarcity!$A$5:$A$9,0)),0))</f>
        <v/>
      </c>
    </row>
    <row r="66">
      <c r="A66" t="n">
        <v>65</v>
      </c>
      <c r="B66" t="inlineStr">
        <is>
          <t>Will Cuylle</t>
        </is>
      </c>
      <c r="C66" t="inlineStr">
        <is>
          <t>NYR</t>
        </is>
      </c>
      <c r="D66" t="inlineStr">
        <is>
          <t>L</t>
        </is>
      </c>
      <c r="E66" t="inlineStr">
        <is>
          <t>L2</t>
        </is>
      </c>
      <c r="F66" t="inlineStr">
        <is>
          <t>PP2</t>
        </is>
      </c>
      <c r="G66" t="n">
        <v>16.7</v>
      </c>
      <c r="H66" t="n">
        <v>80</v>
      </c>
      <c r="I66" t="n">
        <v>2</v>
      </c>
      <c r="J66" t="n">
        <v>2</v>
      </c>
      <c r="K66" t="n">
        <v>66.40000000000001</v>
      </c>
      <c r="L66" t="n">
        <v>34.5</v>
      </c>
      <c r="M66" t="n">
        <v>20.4</v>
      </c>
      <c r="N66" t="n">
        <v>19.9</v>
      </c>
      <c r="O66" t="n">
        <v>6.6</v>
      </c>
      <c r="P66" t="n">
        <v>151.9</v>
      </c>
      <c r="Q66" t="n">
        <v>288.6</v>
      </c>
      <c r="R66" t="n">
        <v>57.1</v>
      </c>
      <c r="S66">
        <f>IF(COUNTIF(Draft!$C$5:$C$196,$B66)&gt;0,1,0)</f>
        <v/>
      </c>
      <c r="T66">
        <f>IF($S66=0,"",IFERROR(INDEX(Draft!$B$5:$B$196,MATCH($B66,Draft!$C$5:$C$196,0)),""))</f>
        <v/>
      </c>
      <c r="U66" t="n">
        <v>5.63</v>
      </c>
      <c r="V66">
        <f>IF($S66=1,-9999,$U66-ROW()/100000)</f>
        <v/>
      </c>
      <c r="W66">
        <f>IF($S66=1,"",SUMPRODUCT(($D$2:$D$301=$D66)*($V$2:$V$301&gt;$V66))+1)</f>
        <v/>
      </c>
      <c r="X66">
        <f>IF($S66=1,"",$U66-IFERROR(INDEX(Scarcity!$D$5:$D$9,MATCH($D66,Scarcity!$A$5:$A$9,0)),0))</f>
        <v/>
      </c>
    </row>
    <row r="67">
      <c r="A67" t="n">
        <v>66</v>
      </c>
      <c r="B67" t="inlineStr">
        <is>
          <t>Adam Fox</t>
        </is>
      </c>
      <c r="C67" t="inlineStr">
        <is>
          <t>NYR</t>
        </is>
      </c>
      <c r="D67" t="inlineStr">
        <is>
          <t>D</t>
        </is>
      </c>
      <c r="E67" t="inlineStr">
        <is>
          <t>D1</t>
        </is>
      </c>
      <c r="F67" t="inlineStr">
        <is>
          <t>PP1</t>
        </is>
      </c>
      <c r="G67" t="n">
        <v>23.2</v>
      </c>
      <c r="H67" t="n">
        <v>74</v>
      </c>
      <c r="I67" t="n">
        <v>1</v>
      </c>
      <c r="J67" t="n">
        <v>3</v>
      </c>
      <c r="K67" t="n">
        <v>92.59999999999999</v>
      </c>
      <c r="L67" t="n">
        <v>34.5</v>
      </c>
      <c r="M67" t="n">
        <v>11</v>
      </c>
      <c r="N67" t="n">
        <v>59.1</v>
      </c>
      <c r="O67" t="n">
        <v>29.2</v>
      </c>
      <c r="P67" t="n">
        <v>125.8</v>
      </c>
      <c r="Q67" t="n">
        <v>35.5</v>
      </c>
      <c r="R67" t="n">
        <v>104.9</v>
      </c>
      <c r="S67">
        <f>IF(COUNTIF(Draft!$C$5:$C$196,$B67)&gt;0,1,0)</f>
        <v/>
      </c>
      <c r="T67">
        <f>IF($S67=0,"",IFERROR(INDEX(Draft!$B$5:$B$196,MATCH($B67,Draft!$C$5:$C$196,0)),""))</f>
        <v/>
      </c>
      <c r="U67" t="n">
        <v>5.57</v>
      </c>
      <c r="V67">
        <f>IF($S67=1,-9999,$U67-ROW()/100000)</f>
        <v/>
      </c>
      <c r="W67">
        <f>IF($S67=1,"",SUMPRODUCT(($D$2:$D$301=$D67)*($V$2:$V$301&gt;$V67))+1)</f>
        <v/>
      </c>
      <c r="X67">
        <f>IF($S67=1,"",$U67-IFERROR(INDEX(Scarcity!$D$5:$D$9,MATCH($D67,Scarcity!$A$5:$A$9,0)),0))</f>
        <v/>
      </c>
    </row>
    <row r="68">
      <c r="A68" t="n">
        <v>67</v>
      </c>
      <c r="B68" t="inlineStr">
        <is>
          <t>Charlie McAvoy</t>
        </is>
      </c>
      <c r="C68" t="inlineStr">
        <is>
          <t>BOS</t>
        </is>
      </c>
      <c r="D68" t="inlineStr">
        <is>
          <t>D</t>
        </is>
      </c>
      <c r="E68" t="inlineStr">
        <is>
          <t>D1</t>
        </is>
      </c>
      <c r="F68" t="inlineStr">
        <is>
          <t>PP1</t>
        </is>
      </c>
      <c r="G68" t="n">
        <v>23.9</v>
      </c>
      <c r="H68" t="n">
        <v>72</v>
      </c>
      <c r="I68" t="n">
        <v>1</v>
      </c>
      <c r="J68" t="n">
        <v>1</v>
      </c>
      <c r="K68" t="n">
        <v>83</v>
      </c>
      <c r="L68" t="n">
        <v>28.6</v>
      </c>
      <c r="M68" t="n">
        <v>10.7</v>
      </c>
      <c r="N68" t="n">
        <v>46.1</v>
      </c>
      <c r="O68" t="n">
        <v>20</v>
      </c>
      <c r="P68" t="n">
        <v>116.6</v>
      </c>
      <c r="Q68" t="n">
        <v>97.7</v>
      </c>
      <c r="R68" t="n">
        <v>131.9</v>
      </c>
      <c r="S68">
        <f>IF(COUNTIF(Draft!$C$5:$C$196,$B68)&gt;0,1,0)</f>
        <v/>
      </c>
      <c r="T68">
        <f>IF($S68=0,"",IFERROR(INDEX(Draft!$B$5:$B$196,MATCH($B68,Draft!$C$5:$C$196,0)),""))</f>
        <v/>
      </c>
      <c r="U68" t="n">
        <v>5.52</v>
      </c>
      <c r="V68">
        <f>IF($S68=1,-9999,$U68-ROW()/100000)</f>
        <v/>
      </c>
      <c r="W68">
        <f>IF($S68=1,"",SUMPRODUCT(($D$2:$D$301=$D68)*($V$2:$V$301&gt;$V68))+1)</f>
        <v/>
      </c>
      <c r="X68">
        <f>IF($S68=1,"",$U68-IFERROR(INDEX(Scarcity!$D$5:$D$9,MATCH($D68,Scarcity!$A$5:$A$9,0)),0))</f>
        <v/>
      </c>
    </row>
    <row r="69">
      <c r="A69" t="n">
        <v>68</v>
      </c>
      <c r="B69" t="inlineStr">
        <is>
          <t>Adam Fantilli</t>
        </is>
      </c>
      <c r="C69" t="inlineStr">
        <is>
          <t>CBJ</t>
        </is>
      </c>
      <c r="D69" t="inlineStr">
        <is>
          <t>C</t>
        </is>
      </c>
      <c r="E69" t="inlineStr">
        <is>
          <t>L1</t>
        </is>
      </c>
      <c r="F69" t="inlineStr">
        <is>
          <t>PP1</t>
        </is>
      </c>
      <c r="G69" t="n">
        <v>18.2</v>
      </c>
      <c r="H69" t="n">
        <v>75</v>
      </c>
      <c r="I69" t="n">
        <v>1</v>
      </c>
      <c r="K69" t="n">
        <v>91.5</v>
      </c>
      <c r="L69" t="n">
        <v>20.2</v>
      </c>
      <c r="M69" t="n">
        <v>28.5</v>
      </c>
      <c r="N69" t="n">
        <v>34.2</v>
      </c>
      <c r="O69" t="n">
        <v>12.4</v>
      </c>
      <c r="P69" t="n">
        <v>206.7</v>
      </c>
      <c r="Q69" t="n">
        <v>119.6</v>
      </c>
      <c r="R69" t="n">
        <v>46.6</v>
      </c>
      <c r="S69">
        <f>IF(COUNTIF(Draft!$C$5:$C$196,$B69)&gt;0,1,0)</f>
        <v/>
      </c>
      <c r="T69">
        <f>IF($S69=0,"",IFERROR(INDEX(Draft!$B$5:$B$196,MATCH($B69,Draft!$C$5:$C$196,0)),""))</f>
        <v/>
      </c>
      <c r="U69" t="n">
        <v>5.42</v>
      </c>
      <c r="V69">
        <f>IF($S69=1,-9999,$U69-ROW()/100000)</f>
        <v/>
      </c>
      <c r="W69">
        <f>IF($S69=1,"",SUMPRODUCT(($D$2:$D$301=$D69)*($V$2:$V$301&gt;$V69))+1)</f>
        <v/>
      </c>
      <c r="X69">
        <f>IF($S69=1,"",$U69-IFERROR(INDEX(Scarcity!$D$5:$D$9,MATCH($D69,Scarcity!$A$5:$A$9,0)),0))</f>
        <v/>
      </c>
    </row>
    <row r="70">
      <c r="A70" t="n">
        <v>69</v>
      </c>
      <c r="B70" t="inlineStr">
        <is>
          <t>Artemi Panarin</t>
        </is>
      </c>
      <c r="C70" t="inlineStr">
        <is>
          <t>LAK</t>
        </is>
      </c>
      <c r="D70" t="inlineStr">
        <is>
          <t>L</t>
        </is>
      </c>
      <c r="E70" t="inlineStr">
        <is>
          <t>L1</t>
        </is>
      </c>
      <c r="F70" t="inlineStr">
        <is>
          <t>PP1</t>
        </is>
      </c>
      <c r="G70" t="n">
        <v>19.5</v>
      </c>
      <c r="H70" t="n">
        <v>76</v>
      </c>
      <c r="I70" t="n">
        <v>1</v>
      </c>
      <c r="K70" t="n">
        <v>111.3</v>
      </c>
      <c r="L70" t="n">
        <v>23.8</v>
      </c>
      <c r="M70" t="n">
        <v>29.4</v>
      </c>
      <c r="N70" t="n">
        <v>54.9</v>
      </c>
      <c r="O70" t="n">
        <v>25.2</v>
      </c>
      <c r="P70" t="n">
        <v>211.5</v>
      </c>
      <c r="Q70" t="n">
        <v>13.4</v>
      </c>
      <c r="R70" t="n">
        <v>14.3</v>
      </c>
      <c r="S70">
        <f>IF(COUNTIF(Draft!$C$5:$C$196,$B70)&gt;0,1,0)</f>
        <v/>
      </c>
      <c r="T70">
        <f>IF($S70=0,"",IFERROR(INDEX(Draft!$B$5:$B$196,MATCH($B70,Draft!$C$5:$C$196,0)),""))</f>
        <v/>
      </c>
      <c r="U70" t="n">
        <v>5.34</v>
      </c>
      <c r="V70">
        <f>IF($S70=1,-9999,$U70-ROW()/100000)</f>
        <v/>
      </c>
      <c r="W70">
        <f>IF($S70=1,"",SUMPRODUCT(($D$2:$D$301=$D70)*($V$2:$V$301&gt;$V70))+1)</f>
        <v/>
      </c>
      <c r="X70">
        <f>IF($S70=1,"",$U70-IFERROR(INDEX(Scarcity!$D$5:$D$9,MATCH($D70,Scarcity!$A$5:$A$9,0)),0))</f>
        <v/>
      </c>
    </row>
    <row r="71">
      <c r="A71" t="n">
        <v>70</v>
      </c>
      <c r="B71" t="inlineStr">
        <is>
          <t>Bo Horvat</t>
        </is>
      </c>
      <c r="C71" t="inlineStr">
        <is>
          <t>NYI</t>
        </is>
      </c>
      <c r="D71" t="inlineStr">
        <is>
          <t>C</t>
        </is>
      </c>
      <c r="E71" t="inlineStr">
        <is>
          <t>L2</t>
        </is>
      </c>
      <c r="F71" t="inlineStr">
        <is>
          <t>PP1</t>
        </is>
      </c>
      <c r="G71" t="n">
        <v>18.7</v>
      </c>
      <c r="H71" t="n">
        <v>78</v>
      </c>
      <c r="I71" t="n">
        <v>2</v>
      </c>
      <c r="J71" t="n">
        <v>2</v>
      </c>
      <c r="K71" t="n">
        <v>92</v>
      </c>
      <c r="L71" t="n">
        <v>22.6</v>
      </c>
      <c r="M71" t="n">
        <v>32.5</v>
      </c>
      <c r="N71" t="n">
        <v>30.5</v>
      </c>
      <c r="O71" t="n">
        <v>15.9</v>
      </c>
      <c r="P71" t="n">
        <v>234.8</v>
      </c>
      <c r="Q71" t="n">
        <v>67.7</v>
      </c>
      <c r="R71" t="n">
        <v>41.7</v>
      </c>
      <c r="S71">
        <f>IF(COUNTIF(Draft!$C$5:$C$196,$B71)&gt;0,1,0)</f>
        <v/>
      </c>
      <c r="T71">
        <f>IF($S71=0,"",IFERROR(INDEX(Draft!$B$5:$B$196,MATCH($B71,Draft!$C$5:$C$196,0)),""))</f>
        <v/>
      </c>
      <c r="U71" t="n">
        <v>5.32</v>
      </c>
      <c r="V71">
        <f>IF($S71=1,-9999,$U71-ROW()/100000)</f>
        <v/>
      </c>
      <c r="W71">
        <f>IF($S71=1,"",SUMPRODUCT(($D$2:$D$301=$D71)*($V$2:$V$301&gt;$V71))+1)</f>
        <v/>
      </c>
      <c r="X71">
        <f>IF($S71=1,"",$U71-IFERROR(INDEX(Scarcity!$D$5:$D$9,MATCH($D71,Scarcity!$A$5:$A$9,0)),0))</f>
        <v/>
      </c>
    </row>
    <row r="72">
      <c r="A72" t="n">
        <v>71</v>
      </c>
      <c r="B72" t="inlineStr">
        <is>
          <t>Jakob Chychrun</t>
        </is>
      </c>
      <c r="C72" t="inlineStr">
        <is>
          <t>WSH</t>
        </is>
      </c>
      <c r="D72" t="inlineStr">
        <is>
          <t>D</t>
        </is>
      </c>
      <c r="E72" t="inlineStr">
        <is>
          <t>D1</t>
        </is>
      </c>
      <c r="F72" t="inlineStr">
        <is>
          <t>PP1</t>
        </is>
      </c>
      <c r="G72" t="n">
        <v>22.1</v>
      </c>
      <c r="H72" t="n">
        <v>78</v>
      </c>
      <c r="I72" t="n">
        <v>1</v>
      </c>
      <c r="J72" t="n">
        <v>3</v>
      </c>
      <c r="K72" t="n">
        <v>76.90000000000001</v>
      </c>
      <c r="L72" t="n">
        <v>32.1</v>
      </c>
      <c r="M72" t="n">
        <v>20.8</v>
      </c>
      <c r="N72" t="n">
        <v>31.8</v>
      </c>
      <c r="O72" t="n">
        <v>16.3</v>
      </c>
      <c r="P72" t="n">
        <v>196.2</v>
      </c>
      <c r="Q72" t="n">
        <v>59.9</v>
      </c>
      <c r="R72" t="n">
        <v>109.8</v>
      </c>
      <c r="S72">
        <f>IF(COUNTIF(Draft!$C$5:$C$196,$B72)&gt;0,1,0)</f>
        <v/>
      </c>
      <c r="T72">
        <f>IF($S72=0,"",IFERROR(INDEX(Draft!$B$5:$B$196,MATCH($B72,Draft!$C$5:$C$196,0)),""))</f>
        <v/>
      </c>
      <c r="U72" t="n">
        <v>5.32</v>
      </c>
      <c r="V72">
        <f>IF($S72=1,-9999,$U72-ROW()/100000)</f>
        <v/>
      </c>
      <c r="W72">
        <f>IF($S72=1,"",SUMPRODUCT(($D$2:$D$301=$D72)*($V$2:$V$301&gt;$V72))+1)</f>
        <v/>
      </c>
      <c r="X72">
        <f>IF($S72=1,"",$U72-IFERROR(INDEX(Scarcity!$D$5:$D$9,MATCH($D72,Scarcity!$A$5:$A$9,0)),0))</f>
        <v/>
      </c>
    </row>
    <row r="73">
      <c r="A73" t="n">
        <v>72</v>
      </c>
      <c r="B73" t="inlineStr">
        <is>
          <t>Alex Tuch</t>
        </is>
      </c>
      <c r="C73" t="inlineStr">
        <is>
          <t>WSH</t>
        </is>
      </c>
      <c r="D73" t="inlineStr">
        <is>
          <t>R</t>
        </is>
      </c>
      <c r="E73" t="inlineStr">
        <is>
          <t>L1</t>
        </is>
      </c>
      <c r="F73" t="inlineStr">
        <is>
          <t>PP2</t>
        </is>
      </c>
      <c r="G73" t="n">
        <v>18.1</v>
      </c>
      <c r="H73" t="n">
        <v>78</v>
      </c>
      <c r="I73" t="n">
        <v>1</v>
      </c>
      <c r="J73" t="n">
        <v>1</v>
      </c>
      <c r="K73" t="n">
        <v>93.3</v>
      </c>
      <c r="L73" t="n">
        <v>32.1</v>
      </c>
      <c r="M73" t="n">
        <v>30.3</v>
      </c>
      <c r="N73" t="n">
        <v>33.7</v>
      </c>
      <c r="O73" t="n">
        <v>10.7</v>
      </c>
      <c r="P73" t="n">
        <v>182.4</v>
      </c>
      <c r="Q73" t="n">
        <v>75.8</v>
      </c>
      <c r="R73" t="n">
        <v>88.5</v>
      </c>
      <c r="S73">
        <f>IF(COUNTIF(Draft!$C$5:$C$196,$B73)&gt;0,1,0)</f>
        <v/>
      </c>
      <c r="T73">
        <f>IF($S73=0,"",IFERROR(INDEX(Draft!$B$5:$B$196,MATCH($B73,Draft!$C$5:$C$196,0)),""))</f>
        <v/>
      </c>
      <c r="U73" t="n">
        <v>5.28</v>
      </c>
      <c r="V73">
        <f>IF($S73=1,-9999,$U73-ROW()/100000)</f>
        <v/>
      </c>
      <c r="W73">
        <f>IF($S73=1,"",SUMPRODUCT(($D$2:$D$301=$D73)*($V$2:$V$301&gt;$V73))+1)</f>
        <v/>
      </c>
      <c r="X73">
        <f>IF($S73=1,"",$U73-IFERROR(INDEX(Scarcity!$D$5:$D$9,MATCH($D73,Scarcity!$A$5:$A$9,0)),0))</f>
        <v/>
      </c>
    </row>
    <row r="74">
      <c r="A74" t="n">
        <v>73</v>
      </c>
      <c r="B74" t="inlineStr">
        <is>
          <t>Noah Dobson</t>
        </is>
      </c>
      <c r="C74" t="inlineStr">
        <is>
          <t>MTL</t>
        </is>
      </c>
      <c r="D74" t="inlineStr">
        <is>
          <t>D</t>
        </is>
      </c>
      <c r="E74" t="inlineStr">
        <is>
          <t>D1</t>
        </is>
      </c>
      <c r="F74" t="inlineStr">
        <is>
          <t>PP2</t>
        </is>
      </c>
      <c r="G74" t="n">
        <v>22.8</v>
      </c>
      <c r="H74" t="n">
        <v>79</v>
      </c>
      <c r="I74" t="n">
        <v>1</v>
      </c>
      <c r="J74" t="n">
        <v>2</v>
      </c>
      <c r="K74" t="n">
        <v>70.40000000000001</v>
      </c>
      <c r="L74" t="n">
        <v>26.2</v>
      </c>
      <c r="M74" t="n">
        <v>10.9</v>
      </c>
      <c r="N74" t="n">
        <v>37.2</v>
      </c>
      <c r="O74" t="n">
        <v>10.4</v>
      </c>
      <c r="P74" t="n">
        <v>168.1</v>
      </c>
      <c r="Q74" t="n">
        <v>63.7</v>
      </c>
      <c r="R74" t="n">
        <v>168.7</v>
      </c>
      <c r="S74">
        <f>IF(COUNTIF(Draft!$C$5:$C$196,$B74)&gt;0,1,0)</f>
        <v/>
      </c>
      <c r="T74">
        <f>IF($S74=0,"",IFERROR(INDEX(Draft!$B$5:$B$196,MATCH($B74,Draft!$C$5:$C$196,0)),""))</f>
        <v/>
      </c>
      <c r="U74" t="n">
        <v>5.24</v>
      </c>
      <c r="V74">
        <f>IF($S74=1,-9999,$U74-ROW()/100000)</f>
        <v/>
      </c>
      <c r="W74">
        <f>IF($S74=1,"",SUMPRODUCT(($D$2:$D$301=$D74)*($V$2:$V$301&gt;$V74))+1)</f>
        <v/>
      </c>
      <c r="X74">
        <f>IF($S74=1,"",$U74-IFERROR(INDEX(Scarcity!$D$5:$D$9,MATCH($D74,Scarcity!$A$5:$A$9,0)),0))</f>
        <v/>
      </c>
    </row>
    <row r="75">
      <c r="A75" t="n">
        <v>74</v>
      </c>
      <c r="B75" t="inlineStr">
        <is>
          <t>Travis Konecny</t>
        </is>
      </c>
      <c r="C75" t="inlineStr">
        <is>
          <t>PHI</t>
        </is>
      </c>
      <c r="D75" t="inlineStr">
        <is>
          <t>R</t>
        </is>
      </c>
      <c r="E75" t="inlineStr">
        <is>
          <t>L1</t>
        </is>
      </c>
      <c r="F75" t="inlineStr">
        <is>
          <t>PP1</t>
        </is>
      </c>
      <c r="G75" t="n">
        <v>18.3</v>
      </c>
      <c r="H75" t="n">
        <v>79</v>
      </c>
      <c r="I75" t="n">
        <v>1</v>
      </c>
      <c r="J75" t="n">
        <v>3</v>
      </c>
      <c r="K75" t="n">
        <v>94</v>
      </c>
      <c r="L75" t="n">
        <v>31</v>
      </c>
      <c r="M75" t="n">
        <v>26.1</v>
      </c>
      <c r="N75" t="n">
        <v>45.1</v>
      </c>
      <c r="O75" t="n">
        <v>15.4</v>
      </c>
      <c r="P75" t="n">
        <v>176.8</v>
      </c>
      <c r="Q75" t="n">
        <v>102.3</v>
      </c>
      <c r="R75" t="n">
        <v>39</v>
      </c>
      <c r="S75">
        <f>IF(COUNTIF(Draft!$C$5:$C$196,$B75)&gt;0,1,0)</f>
        <v/>
      </c>
      <c r="T75">
        <f>IF($S75=0,"",IFERROR(INDEX(Draft!$B$5:$B$196,MATCH($B75,Draft!$C$5:$C$196,0)),""))</f>
        <v/>
      </c>
      <c r="U75" t="n">
        <v>5.11</v>
      </c>
      <c r="V75">
        <f>IF($S75=1,-9999,$U75-ROW()/100000)</f>
        <v/>
      </c>
      <c r="W75">
        <f>IF($S75=1,"",SUMPRODUCT(($D$2:$D$301=$D75)*($V$2:$V$301&gt;$V75))+1)</f>
        <v/>
      </c>
      <c r="X75">
        <f>IF($S75=1,"",$U75-IFERROR(INDEX(Scarcity!$D$5:$D$9,MATCH($D75,Scarcity!$A$5:$A$9,0)),0))</f>
        <v/>
      </c>
    </row>
    <row r="76">
      <c r="A76" t="n">
        <v>75</v>
      </c>
      <c r="B76" t="inlineStr">
        <is>
          <t>Connor Bedard</t>
        </is>
      </c>
      <c r="C76" t="inlineStr">
        <is>
          <t>CHI</t>
        </is>
      </c>
      <c r="D76" t="inlineStr">
        <is>
          <t>C</t>
        </is>
      </c>
      <c r="E76" t="inlineStr"/>
      <c r="F76" t="inlineStr"/>
      <c r="H76" t="n">
        <v>61</v>
      </c>
      <c r="K76" t="n">
        <v>96.40000000000001</v>
      </c>
      <c r="L76" t="n">
        <v>29.8</v>
      </c>
      <c r="M76" t="n">
        <v>27.5</v>
      </c>
      <c r="N76" t="n">
        <v>45.5</v>
      </c>
      <c r="O76" t="n">
        <v>23.6</v>
      </c>
      <c r="P76" t="n">
        <v>209</v>
      </c>
      <c r="Q76" t="n">
        <v>32.4</v>
      </c>
      <c r="R76" t="n">
        <v>25.8</v>
      </c>
      <c r="S76">
        <f>IF(COUNTIF(Draft!$C$5:$C$196,$B76)&gt;0,1,0)</f>
        <v/>
      </c>
      <c r="T76">
        <f>IF($S76=0,"",IFERROR(INDEX(Draft!$B$5:$B$196,MATCH($B76,Draft!$C$5:$C$196,0)),""))</f>
        <v/>
      </c>
      <c r="U76" t="n">
        <v>5.01</v>
      </c>
      <c r="V76">
        <f>IF($S76=1,-9999,$U76-ROW()/100000)</f>
        <v/>
      </c>
      <c r="W76">
        <f>IF($S76=1,"",SUMPRODUCT(($D$2:$D$301=$D76)*($V$2:$V$301&gt;$V76))+1)</f>
        <v/>
      </c>
      <c r="X76">
        <f>IF($S76=1,"",$U76-IFERROR(INDEX(Scarcity!$D$5:$D$9,MATCH($D76,Scarcity!$A$5:$A$9,0)),0))</f>
        <v/>
      </c>
    </row>
    <row r="77">
      <c r="A77" t="n">
        <v>76</v>
      </c>
      <c r="B77" t="inlineStr">
        <is>
          <t>Rickard Rakell</t>
        </is>
      </c>
      <c r="C77" t="inlineStr">
        <is>
          <t>PIT</t>
        </is>
      </c>
      <c r="D77" t="inlineStr">
        <is>
          <t>R</t>
        </is>
      </c>
      <c r="E77" t="inlineStr">
        <is>
          <t>L1</t>
        </is>
      </c>
      <c r="F77" t="inlineStr">
        <is>
          <t>PP1</t>
        </is>
      </c>
      <c r="G77" t="n">
        <v>19.1</v>
      </c>
      <c r="H77" t="n">
        <v>73</v>
      </c>
      <c r="I77" t="n">
        <v>1</v>
      </c>
      <c r="J77" t="n">
        <v>3</v>
      </c>
      <c r="K77" t="n">
        <v>84.8</v>
      </c>
      <c r="L77" t="n">
        <v>32.1</v>
      </c>
      <c r="M77" t="n">
        <v>28.6</v>
      </c>
      <c r="N77" t="n">
        <v>29.4</v>
      </c>
      <c r="O77" t="n">
        <v>17.8</v>
      </c>
      <c r="P77" t="n">
        <v>181.3</v>
      </c>
      <c r="Q77" t="n">
        <v>93.8</v>
      </c>
      <c r="R77" t="n">
        <v>54.2</v>
      </c>
      <c r="S77">
        <f>IF(COUNTIF(Draft!$C$5:$C$196,$B77)&gt;0,1,0)</f>
        <v/>
      </c>
      <c r="T77">
        <f>IF($S77=0,"",IFERROR(INDEX(Draft!$B$5:$B$196,MATCH($B77,Draft!$C$5:$C$196,0)),""))</f>
        <v/>
      </c>
      <c r="U77" t="n">
        <v>4.97</v>
      </c>
      <c r="V77">
        <f>IF($S77=1,-9999,$U77-ROW()/100000)</f>
        <v/>
      </c>
      <c r="W77">
        <f>IF($S77=1,"",SUMPRODUCT(($D$2:$D$301=$D77)*($V$2:$V$301&gt;$V77))+1)</f>
        <v/>
      </c>
      <c r="X77">
        <f>IF($S77=1,"",$U77-IFERROR(INDEX(Scarcity!$D$5:$D$9,MATCH($D77,Scarcity!$A$5:$A$9,0)),0))</f>
        <v/>
      </c>
    </row>
    <row r="78">
      <c r="A78" t="n">
        <v>77</v>
      </c>
      <c r="B78" t="inlineStr">
        <is>
          <t>Alex Ovechkin</t>
        </is>
      </c>
      <c r="C78" t="inlineStr">
        <is>
          <t>WSH</t>
        </is>
      </c>
      <c r="D78" t="inlineStr">
        <is>
          <t>L</t>
        </is>
      </c>
      <c r="E78" t="inlineStr">
        <is>
          <t>L3</t>
        </is>
      </c>
      <c r="F78" t="inlineStr">
        <is>
          <t>PP1</t>
        </is>
      </c>
      <c r="G78" t="n">
        <v>15.5</v>
      </c>
      <c r="H78" t="n">
        <v>64</v>
      </c>
      <c r="I78" t="n">
        <v>3</v>
      </c>
      <c r="K78" t="n">
        <v>86.8</v>
      </c>
      <c r="L78" t="n">
        <v>32.1</v>
      </c>
      <c r="M78" t="n">
        <v>30.5</v>
      </c>
      <c r="N78" t="n">
        <v>28.8</v>
      </c>
      <c r="O78" t="n">
        <v>19</v>
      </c>
      <c r="P78" t="n">
        <v>208.5</v>
      </c>
      <c r="Q78" t="n">
        <v>109.7</v>
      </c>
      <c r="R78" t="n">
        <v>14</v>
      </c>
      <c r="S78">
        <f>IF(COUNTIF(Draft!$C$5:$C$196,$B78)&gt;0,1,0)</f>
        <v/>
      </c>
      <c r="T78">
        <f>IF($S78=0,"",IFERROR(INDEX(Draft!$B$5:$B$196,MATCH($B78,Draft!$C$5:$C$196,0)),""))</f>
        <v/>
      </c>
      <c r="U78" t="n">
        <v>4.91</v>
      </c>
      <c r="V78">
        <f>IF($S78=1,-9999,$U78-ROW()/100000)</f>
        <v/>
      </c>
      <c r="W78">
        <f>IF($S78=1,"",SUMPRODUCT(($D$2:$D$301=$D78)*($V$2:$V$301&gt;$V78))+1)</f>
        <v/>
      </c>
      <c r="X78">
        <f>IF($S78=1,"",$U78-IFERROR(INDEX(Scarcity!$D$5:$D$9,MATCH($D78,Scarcity!$A$5:$A$9,0)),0))</f>
        <v/>
      </c>
    </row>
    <row r="79">
      <c r="A79" t="n">
        <v>78</v>
      </c>
      <c r="B79" t="inlineStr">
        <is>
          <t>Tomas Hertl</t>
        </is>
      </c>
      <c r="C79" t="inlineStr">
        <is>
          <t>VGK</t>
        </is>
      </c>
      <c r="D79" t="inlineStr">
        <is>
          <t>C</t>
        </is>
      </c>
      <c r="E79" t="inlineStr">
        <is>
          <t>L2</t>
        </is>
      </c>
      <c r="F79" t="inlineStr">
        <is>
          <t>PP1</t>
        </is>
      </c>
      <c r="G79" t="n">
        <v>16.3</v>
      </c>
      <c r="H79" t="n">
        <v>74</v>
      </c>
      <c r="I79" t="n">
        <v>2</v>
      </c>
      <c r="K79" t="n">
        <v>83.2</v>
      </c>
      <c r="L79" t="n">
        <v>28.6</v>
      </c>
      <c r="M79" t="n">
        <v>26.2</v>
      </c>
      <c r="N79" t="n">
        <v>30.9</v>
      </c>
      <c r="O79" t="n">
        <v>22.4</v>
      </c>
      <c r="P79" t="n">
        <v>169.2</v>
      </c>
      <c r="Q79" t="n">
        <v>98</v>
      </c>
      <c r="R79" t="n">
        <v>44.9</v>
      </c>
      <c r="S79">
        <f>IF(COUNTIF(Draft!$C$5:$C$196,$B79)&gt;0,1,0)</f>
        <v/>
      </c>
      <c r="T79">
        <f>IF($S79=0,"",IFERROR(INDEX(Draft!$B$5:$B$196,MATCH($B79,Draft!$C$5:$C$196,0)),""))</f>
        <v/>
      </c>
      <c r="U79" t="n">
        <v>4.89</v>
      </c>
      <c r="V79">
        <f>IF($S79=1,-9999,$U79-ROW()/100000)</f>
        <v/>
      </c>
      <c r="W79">
        <f>IF($S79=1,"",SUMPRODUCT(($D$2:$D$301=$D79)*($V$2:$V$301&gt;$V79))+1)</f>
        <v/>
      </c>
      <c r="X79">
        <f>IF($S79=1,"",$U79-IFERROR(INDEX(Scarcity!$D$5:$D$9,MATCH($D79,Scarcity!$A$5:$A$9,0)),0))</f>
        <v/>
      </c>
    </row>
    <row r="80">
      <c r="A80" t="n">
        <v>79</v>
      </c>
      <c r="B80" t="inlineStr">
        <is>
          <t>Josh Morrissey</t>
        </is>
      </c>
      <c r="C80" t="inlineStr">
        <is>
          <t>WPG</t>
        </is>
      </c>
      <c r="D80" t="inlineStr">
        <is>
          <t>D</t>
        </is>
      </c>
      <c r="E80" t="inlineStr">
        <is>
          <t>D1</t>
        </is>
      </c>
      <c r="F80" t="inlineStr">
        <is>
          <t>PP1</t>
        </is>
      </c>
      <c r="G80" t="n">
        <v>23.8</v>
      </c>
      <c r="H80" t="n">
        <v>80</v>
      </c>
      <c r="I80" t="n">
        <v>1</v>
      </c>
      <c r="J80" t="n">
        <v>3</v>
      </c>
      <c r="K80" t="n">
        <v>86.40000000000001</v>
      </c>
      <c r="L80" t="n">
        <v>27.4</v>
      </c>
      <c r="M80" t="n">
        <v>12.8</v>
      </c>
      <c r="N80" t="n">
        <v>46.4</v>
      </c>
      <c r="O80" t="n">
        <v>18.9</v>
      </c>
      <c r="P80" t="n">
        <v>150.7</v>
      </c>
      <c r="Q80" t="n">
        <v>46.2</v>
      </c>
      <c r="R80" t="n">
        <v>116.5</v>
      </c>
      <c r="S80">
        <f>IF(COUNTIF(Draft!$C$5:$C$196,$B80)&gt;0,1,0)</f>
        <v/>
      </c>
      <c r="T80">
        <f>IF($S80=0,"",IFERROR(INDEX(Draft!$B$5:$B$196,MATCH($B80,Draft!$C$5:$C$196,0)),""))</f>
        <v/>
      </c>
      <c r="U80" t="n">
        <v>4.84</v>
      </c>
      <c r="V80">
        <f>IF($S80=1,-9999,$U80-ROW()/100000)</f>
        <v/>
      </c>
      <c r="W80">
        <f>IF($S80=1,"",SUMPRODUCT(($D$2:$D$301=$D80)*($V$2:$V$301&gt;$V80))+1)</f>
        <v/>
      </c>
      <c r="X80">
        <f>IF($S80=1,"",$U80-IFERROR(INDEX(Scarcity!$D$5:$D$9,MATCH($D80,Scarcity!$A$5:$A$9,0)),0))</f>
        <v/>
      </c>
    </row>
    <row r="81">
      <c r="A81" t="n">
        <v>80</v>
      </c>
      <c r="B81" t="inlineStr">
        <is>
          <t>Roman Josi</t>
        </is>
      </c>
      <c r="C81" t="inlineStr">
        <is>
          <t>NSH</t>
        </is>
      </c>
      <c r="D81" t="inlineStr">
        <is>
          <t>D</t>
        </is>
      </c>
      <c r="E81" t="inlineStr">
        <is>
          <t>D1</t>
        </is>
      </c>
      <c r="F81" t="inlineStr">
        <is>
          <t>PP1</t>
        </is>
      </c>
      <c r="G81" t="n">
        <v>25.1</v>
      </c>
      <c r="H81" t="n">
        <v>67</v>
      </c>
      <c r="I81" t="n">
        <v>1</v>
      </c>
      <c r="J81" t="n">
        <v>2</v>
      </c>
      <c r="K81" t="n">
        <v>79</v>
      </c>
      <c r="L81" t="n">
        <v>17.9</v>
      </c>
      <c r="M81" t="n">
        <v>13</v>
      </c>
      <c r="N81" t="n">
        <v>41.1</v>
      </c>
      <c r="O81" t="n">
        <v>23.4</v>
      </c>
      <c r="P81" t="n">
        <v>175.2</v>
      </c>
      <c r="Q81" t="n">
        <v>31.2</v>
      </c>
      <c r="R81" t="n">
        <v>104.6</v>
      </c>
      <c r="S81">
        <f>IF(COUNTIF(Draft!$C$5:$C$196,$B81)&gt;0,1,0)</f>
        <v/>
      </c>
      <c r="T81">
        <f>IF($S81=0,"",IFERROR(INDEX(Draft!$B$5:$B$196,MATCH($B81,Draft!$C$5:$C$196,0)),""))</f>
        <v/>
      </c>
      <c r="U81" t="n">
        <v>4.82</v>
      </c>
      <c r="V81">
        <f>IF($S81=1,-9999,$U81-ROW()/100000)</f>
        <v/>
      </c>
      <c r="W81">
        <f>IF($S81=1,"",SUMPRODUCT(($D$2:$D$301=$D81)*($V$2:$V$301&gt;$V81))+1)</f>
        <v/>
      </c>
      <c r="X81">
        <f>IF($S81=1,"",$U81-IFERROR(INDEX(Scarcity!$D$5:$D$9,MATCH($D81,Scarcity!$A$5:$A$9,0)),0))</f>
        <v/>
      </c>
    </row>
    <row r="82">
      <c r="A82" t="n">
        <v>81</v>
      </c>
      <c r="B82" t="inlineStr">
        <is>
          <t>Alex Laferriere</t>
        </is>
      </c>
      <c r="C82" t="inlineStr">
        <is>
          <t>LAK</t>
        </is>
      </c>
      <c r="D82" t="inlineStr">
        <is>
          <t>R</t>
        </is>
      </c>
      <c r="E82" t="inlineStr">
        <is>
          <t>L2</t>
        </is>
      </c>
      <c r="F82" t="inlineStr">
        <is>
          <t>PP2</t>
        </is>
      </c>
      <c r="G82" t="n">
        <v>17.2</v>
      </c>
      <c r="H82" t="n">
        <v>80</v>
      </c>
      <c r="I82" t="n">
        <v>2</v>
      </c>
      <c r="J82" t="n">
        <v>3</v>
      </c>
      <c r="K82" t="n">
        <v>74.5</v>
      </c>
      <c r="L82" t="n">
        <v>23.8</v>
      </c>
      <c r="M82" t="n">
        <v>21.5</v>
      </c>
      <c r="N82" t="n">
        <v>23.6</v>
      </c>
      <c r="O82" t="n">
        <v>5.2</v>
      </c>
      <c r="P82" t="n">
        <v>201.3</v>
      </c>
      <c r="Q82" t="n">
        <v>207.9</v>
      </c>
      <c r="R82" t="n">
        <v>45</v>
      </c>
      <c r="S82">
        <f>IF(COUNTIF(Draft!$C$5:$C$196,$B82)&gt;0,1,0)</f>
        <v/>
      </c>
      <c r="T82">
        <f>IF($S82=0,"",IFERROR(INDEX(Draft!$B$5:$B$196,MATCH($B82,Draft!$C$5:$C$196,0)),""))</f>
        <v/>
      </c>
      <c r="U82" t="n">
        <v>4.82</v>
      </c>
      <c r="V82">
        <f>IF($S82=1,-9999,$U82-ROW()/100000)</f>
        <v/>
      </c>
      <c r="W82">
        <f>IF($S82=1,"",SUMPRODUCT(($D$2:$D$301=$D82)*($V$2:$V$301&gt;$V82))+1)</f>
        <v/>
      </c>
      <c r="X82">
        <f>IF($S82=1,"",$U82-IFERROR(INDEX(Scarcity!$D$5:$D$9,MATCH($D82,Scarcity!$A$5:$A$9,0)),0))</f>
        <v/>
      </c>
    </row>
    <row r="83">
      <c r="A83" t="n">
        <v>82</v>
      </c>
      <c r="B83" t="inlineStr">
        <is>
          <t>Leo Carlsson</t>
        </is>
      </c>
      <c r="C83" t="inlineStr">
        <is>
          <t>ANA</t>
        </is>
      </c>
      <c r="D83" t="inlineStr">
        <is>
          <t>C</t>
        </is>
      </c>
      <c r="E83" t="inlineStr">
        <is>
          <t>L1</t>
        </is>
      </c>
      <c r="F83" t="inlineStr">
        <is>
          <t>PP1</t>
        </is>
      </c>
      <c r="G83" t="n">
        <v>19.9</v>
      </c>
      <c r="H83" t="n">
        <v>73</v>
      </c>
      <c r="I83" t="n">
        <v>1</v>
      </c>
      <c r="J83" t="n">
        <v>3</v>
      </c>
      <c r="K83" t="n">
        <v>103.1</v>
      </c>
      <c r="L83" t="n">
        <v>34.5</v>
      </c>
      <c r="M83" t="n">
        <v>32.6</v>
      </c>
      <c r="N83" t="n">
        <v>45.5</v>
      </c>
      <c r="O83" t="n">
        <v>18.8</v>
      </c>
      <c r="P83" t="n">
        <v>198.5</v>
      </c>
      <c r="Q83" t="n">
        <v>19</v>
      </c>
      <c r="R83" t="n">
        <v>34.3</v>
      </c>
      <c r="S83">
        <f>IF(COUNTIF(Draft!$C$5:$C$196,$B83)&gt;0,1,0)</f>
        <v/>
      </c>
      <c r="T83">
        <f>IF($S83=0,"",IFERROR(INDEX(Draft!$B$5:$B$196,MATCH($B83,Draft!$C$5:$C$196,0)),""))</f>
        <v/>
      </c>
      <c r="U83" t="n">
        <v>4.81</v>
      </c>
      <c r="V83">
        <f>IF($S83=1,-9999,$U83-ROW()/100000)</f>
        <v/>
      </c>
      <c r="W83">
        <f>IF($S83=1,"",SUMPRODUCT(($D$2:$D$301=$D83)*($V$2:$V$301&gt;$V83))+1)</f>
        <v/>
      </c>
      <c r="X83">
        <f>IF($S83=1,"",$U83-IFERROR(INDEX(Scarcity!$D$5:$D$9,MATCH($D83,Scarcity!$A$5:$A$9,0)),0))</f>
        <v/>
      </c>
    </row>
    <row r="84">
      <c r="A84" t="n">
        <v>83</v>
      </c>
      <c r="B84" t="inlineStr">
        <is>
          <t>Darren Raddysh</t>
        </is>
      </c>
      <c r="C84" t="inlineStr">
        <is>
          <t>TOR</t>
        </is>
      </c>
      <c r="D84" t="inlineStr">
        <is>
          <t>D</t>
        </is>
      </c>
      <c r="E84" t="inlineStr">
        <is>
          <t>D1</t>
        </is>
      </c>
      <c r="F84" t="inlineStr">
        <is>
          <t>PP1</t>
        </is>
      </c>
      <c r="G84" t="n">
        <v>22</v>
      </c>
      <c r="H84" t="n">
        <v>78</v>
      </c>
      <c r="I84" t="n">
        <v>1</v>
      </c>
      <c r="J84" t="n">
        <v>2</v>
      </c>
      <c r="K84" t="n">
        <v>86.2</v>
      </c>
      <c r="L84" t="n">
        <v>26.2</v>
      </c>
      <c r="M84" t="n">
        <v>14.9</v>
      </c>
      <c r="N84" t="n">
        <v>44.1</v>
      </c>
      <c r="O84" t="n">
        <v>21.4</v>
      </c>
      <c r="P84" t="n">
        <v>173.2</v>
      </c>
      <c r="Q84" t="n">
        <v>63.7</v>
      </c>
      <c r="R84" t="n">
        <v>77.3</v>
      </c>
      <c r="S84">
        <f>IF(COUNTIF(Draft!$C$5:$C$196,$B84)&gt;0,1,0)</f>
        <v/>
      </c>
      <c r="T84">
        <f>IF($S84=0,"",IFERROR(INDEX(Draft!$B$5:$B$196,MATCH($B84,Draft!$C$5:$C$196,0)),""))</f>
        <v/>
      </c>
      <c r="U84" t="n">
        <v>4.81</v>
      </c>
      <c r="V84">
        <f>IF($S84=1,-9999,$U84-ROW()/100000)</f>
        <v/>
      </c>
      <c r="W84">
        <f>IF($S84=1,"",SUMPRODUCT(($D$2:$D$301=$D84)*($V$2:$V$301&gt;$V84))+1)</f>
        <v/>
      </c>
      <c r="X84">
        <f>IF($S84=1,"",$U84-IFERROR(INDEX(Scarcity!$D$5:$D$9,MATCH($D84,Scarcity!$A$5:$A$9,0)),0))</f>
        <v/>
      </c>
    </row>
    <row r="85">
      <c r="A85" t="n">
        <v>84</v>
      </c>
      <c r="B85" t="inlineStr">
        <is>
          <t>John Tavares</t>
        </is>
      </c>
      <c r="C85" t="inlineStr">
        <is>
          <t>TOR</t>
        </is>
      </c>
      <c r="D85" t="inlineStr">
        <is>
          <t>C</t>
        </is>
      </c>
      <c r="E85" t="inlineStr">
        <is>
          <t>L1</t>
        </is>
      </c>
      <c r="F85" t="inlineStr">
        <is>
          <t>PP1</t>
        </is>
      </c>
      <c r="G85" t="n">
        <v>18.5</v>
      </c>
      <c r="H85" t="n">
        <v>74</v>
      </c>
      <c r="I85" t="n">
        <v>1</v>
      </c>
      <c r="K85" t="n">
        <v>89.5</v>
      </c>
      <c r="L85" t="n">
        <v>26.2</v>
      </c>
      <c r="M85" t="n">
        <v>31</v>
      </c>
      <c r="N85" t="n">
        <v>36.8</v>
      </c>
      <c r="O85" t="n">
        <v>20.3</v>
      </c>
      <c r="P85" t="n">
        <v>178.2</v>
      </c>
      <c r="Q85" t="n">
        <v>76.3</v>
      </c>
      <c r="R85" t="n">
        <v>27.7</v>
      </c>
      <c r="S85">
        <f>IF(COUNTIF(Draft!$C$5:$C$196,$B85)&gt;0,1,0)</f>
        <v/>
      </c>
      <c r="T85">
        <f>IF($S85=0,"",IFERROR(INDEX(Draft!$B$5:$B$196,MATCH($B85,Draft!$C$5:$C$196,0)),""))</f>
        <v/>
      </c>
      <c r="U85" t="n">
        <v>4.8</v>
      </c>
      <c r="V85">
        <f>IF($S85=1,-9999,$U85-ROW()/100000)</f>
        <v/>
      </c>
      <c r="W85">
        <f>IF($S85=1,"",SUMPRODUCT(($D$2:$D$301=$D85)*($V$2:$V$301&gt;$V85))+1)</f>
        <v/>
      </c>
      <c r="X85">
        <f>IF($S85=1,"",$U85-IFERROR(INDEX(Scarcity!$D$5:$D$9,MATCH($D85,Scarcity!$A$5:$A$9,0)),0))</f>
        <v/>
      </c>
    </row>
    <row r="86">
      <c r="A86" t="n">
        <v>85</v>
      </c>
      <c r="B86" t="inlineStr">
        <is>
          <t>Miro Heiskanen</t>
        </is>
      </c>
      <c r="C86" t="inlineStr">
        <is>
          <t>DAL</t>
        </is>
      </c>
      <c r="D86" t="inlineStr">
        <is>
          <t>D</t>
        </is>
      </c>
      <c r="E86" t="inlineStr">
        <is>
          <t>D1</t>
        </is>
      </c>
      <c r="F86" t="inlineStr">
        <is>
          <t>PP1</t>
        </is>
      </c>
      <c r="G86" t="n">
        <v>24.4</v>
      </c>
      <c r="H86" t="n">
        <v>73</v>
      </c>
      <c r="I86" t="n">
        <v>1</v>
      </c>
      <c r="J86" t="n">
        <v>1</v>
      </c>
      <c r="K86" t="n">
        <v>85.5</v>
      </c>
      <c r="L86" t="n">
        <v>31</v>
      </c>
      <c r="M86" t="n">
        <v>8.9</v>
      </c>
      <c r="N86" t="n">
        <v>49.7</v>
      </c>
      <c r="O86" t="n">
        <v>24.2</v>
      </c>
      <c r="P86" t="n">
        <v>144.2</v>
      </c>
      <c r="Q86" t="n">
        <v>25.2</v>
      </c>
      <c r="R86" t="n">
        <v>120.3</v>
      </c>
      <c r="S86">
        <f>IF(COUNTIF(Draft!$C$5:$C$196,$B86)&gt;0,1,0)</f>
        <v/>
      </c>
      <c r="T86">
        <f>IF($S86=0,"",IFERROR(INDEX(Draft!$B$5:$B$196,MATCH($B86,Draft!$C$5:$C$196,0)),""))</f>
        <v/>
      </c>
      <c r="U86" t="n">
        <v>4.78</v>
      </c>
      <c r="V86">
        <f>IF($S86=1,-9999,$U86-ROW()/100000)</f>
        <v/>
      </c>
      <c r="W86">
        <f>IF($S86=1,"",SUMPRODUCT(($D$2:$D$301=$D86)*($V$2:$V$301&gt;$V86))+1)</f>
        <v/>
      </c>
      <c r="X86">
        <f>IF($S86=1,"",$U86-IFERROR(INDEX(Scarcity!$D$5:$D$9,MATCH($D86,Scarcity!$A$5:$A$9,0)),0))</f>
        <v/>
      </c>
    </row>
    <row r="87">
      <c r="A87" t="n">
        <v>86</v>
      </c>
      <c r="B87" t="inlineStr">
        <is>
          <t>Roope Hintz</t>
        </is>
      </c>
      <c r="C87" t="inlineStr">
        <is>
          <t>DAL</t>
        </is>
      </c>
      <c r="D87" t="inlineStr">
        <is>
          <t>C</t>
        </is>
      </c>
      <c r="E87" t="inlineStr">
        <is>
          <t>L2</t>
        </is>
      </c>
      <c r="F87" t="inlineStr">
        <is>
          <t>PP1</t>
        </is>
      </c>
      <c r="G87" t="n">
        <v>16.7</v>
      </c>
      <c r="H87" t="n">
        <v>75</v>
      </c>
      <c r="I87" t="n">
        <v>2</v>
      </c>
      <c r="J87" t="n">
        <v>3</v>
      </c>
      <c r="K87" t="n">
        <v>88.40000000000001</v>
      </c>
      <c r="L87" t="n">
        <v>31</v>
      </c>
      <c r="M87" t="n">
        <v>26.4</v>
      </c>
      <c r="N87" t="n">
        <v>40.7</v>
      </c>
      <c r="O87" t="n">
        <v>24.3</v>
      </c>
      <c r="P87" t="n">
        <v>164.6</v>
      </c>
      <c r="Q87" t="n">
        <v>67.59999999999999</v>
      </c>
      <c r="R87" t="n">
        <v>33.2</v>
      </c>
      <c r="S87">
        <f>IF(COUNTIF(Draft!$C$5:$C$196,$B87)&gt;0,1,0)</f>
        <v/>
      </c>
      <c r="T87">
        <f>IF($S87=0,"",IFERROR(INDEX(Draft!$B$5:$B$196,MATCH($B87,Draft!$C$5:$C$196,0)),""))</f>
        <v/>
      </c>
      <c r="U87" t="n">
        <v>4.76</v>
      </c>
      <c r="V87">
        <f>IF($S87=1,-9999,$U87-ROW()/100000)</f>
        <v/>
      </c>
      <c r="W87">
        <f>IF($S87=1,"",SUMPRODUCT(($D$2:$D$301=$D87)*($V$2:$V$301&gt;$V87))+1)</f>
        <v/>
      </c>
      <c r="X87">
        <f>IF($S87=1,"",$U87-IFERROR(INDEX(Scarcity!$D$5:$D$9,MATCH($D87,Scarcity!$A$5:$A$9,0)),0))</f>
        <v/>
      </c>
    </row>
    <row r="88">
      <c r="A88" t="n">
        <v>87</v>
      </c>
      <c r="B88" t="inlineStr">
        <is>
          <t>Joel Eriksson Ek</t>
        </is>
      </c>
      <c r="C88" t="inlineStr">
        <is>
          <t>MIN</t>
        </is>
      </c>
      <c r="D88" t="inlineStr">
        <is>
          <t>C</t>
        </is>
      </c>
      <c r="E88" t="inlineStr">
        <is>
          <t>L2</t>
        </is>
      </c>
      <c r="F88" t="inlineStr">
        <is>
          <t>PP1</t>
        </is>
      </c>
      <c r="G88" t="n">
        <v>17.4</v>
      </c>
      <c r="H88" t="n">
        <v>73</v>
      </c>
      <c r="I88" t="n">
        <v>2</v>
      </c>
      <c r="J88" t="n">
        <v>3</v>
      </c>
      <c r="K88" t="n">
        <v>78.3</v>
      </c>
      <c r="L88" t="n">
        <v>23.8</v>
      </c>
      <c r="M88" t="n">
        <v>21.6</v>
      </c>
      <c r="N88" t="n">
        <v>32</v>
      </c>
      <c r="O88" t="n">
        <v>17.3</v>
      </c>
      <c r="P88" t="n">
        <v>199.6</v>
      </c>
      <c r="Q88" t="n">
        <v>117.3</v>
      </c>
      <c r="R88" t="n">
        <v>40.9</v>
      </c>
      <c r="S88">
        <f>IF(COUNTIF(Draft!$C$5:$C$196,$B88)&gt;0,1,0)</f>
        <v/>
      </c>
      <c r="T88">
        <f>IF($S88=0,"",IFERROR(INDEX(Draft!$B$5:$B$196,MATCH($B88,Draft!$C$5:$C$196,0)),""))</f>
        <v/>
      </c>
      <c r="U88" t="n">
        <v>4.76</v>
      </c>
      <c r="V88">
        <f>IF($S88=1,-9999,$U88-ROW()/100000)</f>
        <v/>
      </c>
      <c r="W88">
        <f>IF($S88=1,"",SUMPRODUCT(($D$2:$D$301=$D88)*($V$2:$V$301&gt;$V88))+1)</f>
        <v/>
      </c>
      <c r="X88">
        <f>IF($S88=1,"",$U88-IFERROR(INDEX(Scarcity!$D$5:$D$9,MATCH($D88,Scarcity!$A$5:$A$9,0)),0))</f>
        <v/>
      </c>
    </row>
    <row r="89">
      <c r="A89" t="n">
        <v>88</v>
      </c>
      <c r="B89" t="inlineStr">
        <is>
          <t>Lane Hutson</t>
        </is>
      </c>
      <c r="C89" t="inlineStr">
        <is>
          <t>MTL</t>
        </is>
      </c>
      <c r="D89" t="inlineStr">
        <is>
          <t>D</t>
        </is>
      </c>
      <c r="E89" t="inlineStr">
        <is>
          <t>D2</t>
        </is>
      </c>
      <c r="F89" t="inlineStr">
        <is>
          <t>PP1</t>
        </is>
      </c>
      <c r="G89" t="n">
        <v>21.7</v>
      </c>
      <c r="H89" t="n">
        <v>69</v>
      </c>
      <c r="I89" t="n">
        <v>2</v>
      </c>
      <c r="J89" t="n">
        <v>3</v>
      </c>
      <c r="K89" t="n">
        <v>97.09999999999999</v>
      </c>
      <c r="L89" t="n">
        <v>26.2</v>
      </c>
      <c r="M89" t="n">
        <v>10</v>
      </c>
      <c r="N89" t="n">
        <v>63.6</v>
      </c>
      <c r="O89" t="n">
        <v>21.9</v>
      </c>
      <c r="P89" t="n">
        <v>108.8</v>
      </c>
      <c r="Q89" t="n">
        <v>29.2</v>
      </c>
      <c r="R89" t="n">
        <v>109.9</v>
      </c>
      <c r="S89">
        <f>IF(COUNTIF(Draft!$C$5:$C$196,$B89)&gt;0,1,0)</f>
        <v/>
      </c>
      <c r="T89">
        <f>IF($S89=0,"",IFERROR(INDEX(Draft!$B$5:$B$196,MATCH($B89,Draft!$C$5:$C$196,0)),""))</f>
        <v/>
      </c>
      <c r="U89" t="n">
        <v>4.7</v>
      </c>
      <c r="V89">
        <f>IF($S89=1,-9999,$U89-ROW()/100000)</f>
        <v/>
      </c>
      <c r="W89">
        <f>IF($S89=1,"",SUMPRODUCT(($D$2:$D$301=$D89)*($V$2:$V$301&gt;$V89))+1)</f>
        <v/>
      </c>
      <c r="X89">
        <f>IF($S89=1,"",$U89-IFERROR(INDEX(Scarcity!$D$5:$D$9,MATCH($D89,Scarcity!$A$5:$A$9,0)),0))</f>
        <v/>
      </c>
    </row>
    <row r="90">
      <c r="A90" t="n">
        <v>89</v>
      </c>
      <c r="B90" t="inlineStr">
        <is>
          <t>Cutter Gauthier</t>
        </is>
      </c>
      <c r="C90" t="inlineStr">
        <is>
          <t>ANA</t>
        </is>
      </c>
      <c r="D90" t="inlineStr">
        <is>
          <t>L</t>
        </is>
      </c>
      <c r="E90" t="inlineStr">
        <is>
          <t>L1</t>
        </is>
      </c>
      <c r="F90" t="inlineStr">
        <is>
          <t>PP1</t>
        </is>
      </c>
      <c r="G90" t="n">
        <v>19</v>
      </c>
      <c r="H90" t="n">
        <v>68</v>
      </c>
      <c r="I90" t="n">
        <v>1</v>
      </c>
      <c r="K90" t="n">
        <v>86.3</v>
      </c>
      <c r="L90" t="n">
        <v>34.5</v>
      </c>
      <c r="M90" t="n">
        <v>31.3</v>
      </c>
      <c r="N90" t="n">
        <v>27.9</v>
      </c>
      <c r="O90" t="n">
        <v>16.8</v>
      </c>
      <c r="P90" t="n">
        <v>245.4</v>
      </c>
      <c r="Q90" t="n">
        <v>57.9</v>
      </c>
      <c r="R90" t="n">
        <v>26.2</v>
      </c>
      <c r="S90">
        <f>IF(COUNTIF(Draft!$C$5:$C$196,$B90)&gt;0,1,0)</f>
        <v/>
      </c>
      <c r="T90">
        <f>IF($S90=0,"",IFERROR(INDEX(Draft!$B$5:$B$196,MATCH($B90,Draft!$C$5:$C$196,0)),""))</f>
        <v/>
      </c>
      <c r="U90" t="n">
        <v>4.7</v>
      </c>
      <c r="V90">
        <f>IF($S90=1,-9999,$U90-ROW()/100000)</f>
        <v/>
      </c>
      <c r="W90">
        <f>IF($S90=1,"",SUMPRODUCT(($D$2:$D$301=$D90)*($V$2:$V$301&gt;$V90))+1)</f>
        <v/>
      </c>
      <c r="X90">
        <f>IF($S90=1,"",$U90-IFERROR(INDEX(Scarcity!$D$5:$D$9,MATCH($D90,Scarcity!$A$5:$A$9,0)),0))</f>
        <v/>
      </c>
    </row>
    <row r="91">
      <c r="A91" t="n">
        <v>90</v>
      </c>
      <c r="B91" t="inlineStr">
        <is>
          <t>Sam Bennett</t>
        </is>
      </c>
      <c r="C91" t="inlineStr">
        <is>
          <t>FLA</t>
        </is>
      </c>
      <c r="D91" t="inlineStr">
        <is>
          <t>C</t>
        </is>
      </c>
      <c r="E91" t="inlineStr">
        <is>
          <t>L2</t>
        </is>
      </c>
      <c r="F91" t="inlineStr">
        <is>
          <t>PP2</t>
        </is>
      </c>
      <c r="G91" t="n">
        <v>16.5</v>
      </c>
      <c r="H91" t="n">
        <v>76</v>
      </c>
      <c r="I91" t="n">
        <v>2</v>
      </c>
      <c r="J91" t="n">
        <v>3</v>
      </c>
      <c r="K91" t="n">
        <v>81.09999999999999</v>
      </c>
      <c r="L91" t="n">
        <v>29.8</v>
      </c>
      <c r="M91" t="n">
        <v>25.6</v>
      </c>
      <c r="N91" t="n">
        <v>29.9</v>
      </c>
      <c r="O91" t="n">
        <v>13</v>
      </c>
      <c r="P91" t="n">
        <v>197.6</v>
      </c>
      <c r="Q91" t="n">
        <v>128.2</v>
      </c>
      <c r="R91" t="n">
        <v>36.2</v>
      </c>
      <c r="S91">
        <f>IF(COUNTIF(Draft!$C$5:$C$196,$B91)&gt;0,1,0)</f>
        <v/>
      </c>
      <c r="T91">
        <f>IF($S91=0,"",IFERROR(INDEX(Draft!$B$5:$B$196,MATCH($B91,Draft!$C$5:$C$196,0)),""))</f>
        <v/>
      </c>
      <c r="U91" t="n">
        <v>4.63</v>
      </c>
      <c r="V91">
        <f>IF($S91=1,-9999,$U91-ROW()/100000)</f>
        <v/>
      </c>
      <c r="W91">
        <f>IF($S91=1,"",SUMPRODUCT(($D$2:$D$301=$D91)*($V$2:$V$301&gt;$V91))+1)</f>
        <v/>
      </c>
      <c r="X91">
        <f>IF($S91=1,"",$U91-IFERROR(INDEX(Scarcity!$D$5:$D$9,MATCH($D91,Scarcity!$A$5:$A$9,0)),0))</f>
        <v/>
      </c>
    </row>
    <row r="92">
      <c r="A92" t="n">
        <v>91</v>
      </c>
      <c r="B92" t="inlineStr">
        <is>
          <t>Kevin Fiala</t>
        </is>
      </c>
      <c r="C92" t="inlineStr">
        <is>
          <t>LAK</t>
        </is>
      </c>
      <c r="D92" t="inlineStr">
        <is>
          <t>L</t>
        </is>
      </c>
      <c r="E92" t="inlineStr">
        <is>
          <t>L2</t>
        </is>
      </c>
      <c r="F92" t="inlineStr">
        <is>
          <t>PP1</t>
        </is>
      </c>
      <c r="G92" t="n">
        <v>17.9</v>
      </c>
      <c r="H92" t="n">
        <v>77</v>
      </c>
      <c r="I92" t="n">
        <v>2</v>
      </c>
      <c r="K92" t="n">
        <v>86.3</v>
      </c>
      <c r="L92" t="n">
        <v>23.8</v>
      </c>
      <c r="M92" t="n">
        <v>28.1</v>
      </c>
      <c r="N92" t="n">
        <v>31</v>
      </c>
      <c r="O92" t="n">
        <v>24.4</v>
      </c>
      <c r="P92" t="n">
        <v>200.6</v>
      </c>
      <c r="Q92" t="n">
        <v>56.2</v>
      </c>
      <c r="R92" t="n">
        <v>28.1</v>
      </c>
      <c r="S92">
        <f>IF(COUNTIF(Draft!$C$5:$C$196,$B92)&gt;0,1,0)</f>
        <v/>
      </c>
      <c r="T92">
        <f>IF($S92=0,"",IFERROR(INDEX(Draft!$B$5:$B$196,MATCH($B92,Draft!$C$5:$C$196,0)),""))</f>
        <v/>
      </c>
      <c r="U92" t="n">
        <v>4.59</v>
      </c>
      <c r="V92">
        <f>IF($S92=1,-9999,$U92-ROW()/100000)</f>
        <v/>
      </c>
      <c r="W92">
        <f>IF($S92=1,"",SUMPRODUCT(($D$2:$D$301=$D92)*($V$2:$V$301&gt;$V92))+1)</f>
        <v/>
      </c>
      <c r="X92">
        <f>IF($S92=1,"",$U92-IFERROR(INDEX(Scarcity!$D$5:$D$9,MATCH($D92,Scarcity!$A$5:$A$9,0)),0))</f>
        <v/>
      </c>
    </row>
    <row r="93">
      <c r="A93" t="n">
        <v>92</v>
      </c>
      <c r="B93" t="inlineStr">
        <is>
          <t>Mikhail Sergachev</t>
        </is>
      </c>
      <c r="C93" t="inlineStr">
        <is>
          <t>UTA</t>
        </is>
      </c>
      <c r="D93" t="inlineStr">
        <is>
          <t>D</t>
        </is>
      </c>
      <c r="E93" t="inlineStr">
        <is>
          <t>D1</t>
        </is>
      </c>
      <c r="F93" t="inlineStr">
        <is>
          <t>PP1</t>
        </is>
      </c>
      <c r="G93" t="n">
        <v>23.2</v>
      </c>
      <c r="H93" t="n">
        <v>72</v>
      </c>
      <c r="I93" t="n">
        <v>1</v>
      </c>
      <c r="J93" t="n">
        <v>1</v>
      </c>
      <c r="K93" t="n">
        <v>77.7</v>
      </c>
      <c r="L93" t="n">
        <v>34.5</v>
      </c>
      <c r="M93" t="n">
        <v>9.9</v>
      </c>
      <c r="N93" t="n">
        <v>43.3</v>
      </c>
      <c r="O93" t="n">
        <v>23</v>
      </c>
      <c r="P93" t="n">
        <v>133.1</v>
      </c>
      <c r="Q93" t="n">
        <v>45.7</v>
      </c>
      <c r="R93" t="n">
        <v>120.3</v>
      </c>
      <c r="S93">
        <f>IF(COUNTIF(Draft!$C$5:$C$196,$B93)&gt;0,1,0)</f>
        <v/>
      </c>
      <c r="T93">
        <f>IF($S93=0,"",IFERROR(INDEX(Draft!$B$5:$B$196,MATCH($B93,Draft!$C$5:$C$196,0)),""))</f>
        <v/>
      </c>
      <c r="U93" t="n">
        <v>4.56</v>
      </c>
      <c r="V93">
        <f>IF($S93=1,-9999,$U93-ROW()/100000)</f>
        <v/>
      </c>
      <c r="W93">
        <f>IF($S93=1,"",SUMPRODUCT(($D$2:$D$301=$D93)*($V$2:$V$301&gt;$V93))+1)</f>
        <v/>
      </c>
      <c r="X93">
        <f>IF($S93=1,"",$U93-IFERROR(INDEX(Scarcity!$D$5:$D$9,MATCH($D93,Scarcity!$A$5:$A$9,0)),0))</f>
        <v/>
      </c>
    </row>
    <row r="94">
      <c r="A94" t="n">
        <v>93</v>
      </c>
      <c r="B94" t="inlineStr">
        <is>
          <t>Dylan Holloway</t>
        </is>
      </c>
      <c r="C94" t="inlineStr">
        <is>
          <t>STL</t>
        </is>
      </c>
      <c r="D94" t="inlineStr">
        <is>
          <t>L</t>
        </is>
      </c>
      <c r="E94" t="inlineStr">
        <is>
          <t>L1</t>
        </is>
      </c>
      <c r="F94" t="inlineStr">
        <is>
          <t>PP1</t>
        </is>
      </c>
      <c r="G94" t="n">
        <v>17.9</v>
      </c>
      <c r="H94" t="n">
        <v>67</v>
      </c>
      <c r="I94" t="n">
        <v>1</v>
      </c>
      <c r="K94" t="n">
        <v>83.8</v>
      </c>
      <c r="L94" t="n">
        <v>20.2</v>
      </c>
      <c r="M94" t="n">
        <v>23.7</v>
      </c>
      <c r="N94" t="n">
        <v>33.7</v>
      </c>
      <c r="O94" t="n">
        <v>11.1</v>
      </c>
      <c r="P94" t="n">
        <v>171.9</v>
      </c>
      <c r="Q94" t="n">
        <v>144.7</v>
      </c>
      <c r="R94" t="n">
        <v>42.9</v>
      </c>
      <c r="S94">
        <f>IF(COUNTIF(Draft!$C$5:$C$196,$B94)&gt;0,1,0)</f>
        <v/>
      </c>
      <c r="T94">
        <f>IF($S94=0,"",IFERROR(INDEX(Draft!$B$5:$B$196,MATCH($B94,Draft!$C$5:$C$196,0)),""))</f>
        <v/>
      </c>
      <c r="U94" t="n">
        <v>4.52</v>
      </c>
      <c r="V94">
        <f>IF($S94=1,-9999,$U94-ROW()/100000)</f>
        <v/>
      </c>
      <c r="W94">
        <f>IF($S94=1,"",SUMPRODUCT(($D$2:$D$301=$D94)*($V$2:$V$301&gt;$V94))+1)</f>
        <v/>
      </c>
      <c r="X94">
        <f>IF($S94=1,"",$U94-IFERROR(INDEX(Scarcity!$D$5:$D$9,MATCH($D94,Scarcity!$A$5:$A$9,0)),0))</f>
        <v/>
      </c>
    </row>
    <row r="95">
      <c r="A95" t="n">
        <v>94</v>
      </c>
      <c r="B95" t="inlineStr">
        <is>
          <t>Morgan Geekie</t>
        </is>
      </c>
      <c r="C95" t="inlineStr">
        <is>
          <t>BOS</t>
        </is>
      </c>
      <c r="D95" t="inlineStr">
        <is>
          <t>C</t>
        </is>
      </c>
      <c r="E95" t="inlineStr">
        <is>
          <t>L2</t>
        </is>
      </c>
      <c r="F95" t="inlineStr">
        <is>
          <t>PP1</t>
        </is>
      </c>
      <c r="G95" t="n">
        <v>16</v>
      </c>
      <c r="H95" t="n">
        <v>79</v>
      </c>
      <c r="I95" t="n">
        <v>2</v>
      </c>
      <c r="K95" t="n">
        <v>84.59999999999999</v>
      </c>
      <c r="L95" t="n">
        <v>28.6</v>
      </c>
      <c r="M95" t="n">
        <v>30.4</v>
      </c>
      <c r="N95" t="n">
        <v>27.5</v>
      </c>
      <c r="O95" t="n">
        <v>19.2</v>
      </c>
      <c r="P95" t="n">
        <v>157.3</v>
      </c>
      <c r="Q95" t="n">
        <v>109.6</v>
      </c>
      <c r="R95" t="n">
        <v>34.3</v>
      </c>
      <c r="S95">
        <f>IF(COUNTIF(Draft!$C$5:$C$196,$B95)&gt;0,1,0)</f>
        <v/>
      </c>
      <c r="T95">
        <f>IF($S95=0,"",IFERROR(INDEX(Draft!$B$5:$B$196,MATCH($B95,Draft!$C$5:$C$196,0)),""))</f>
        <v/>
      </c>
      <c r="U95" t="n">
        <v>4.49</v>
      </c>
      <c r="V95">
        <f>IF($S95=1,-9999,$U95-ROW()/100000)</f>
        <v/>
      </c>
      <c r="W95">
        <f>IF($S95=1,"",SUMPRODUCT(($D$2:$D$301=$D95)*($V$2:$V$301&gt;$V95))+1)</f>
        <v/>
      </c>
      <c r="X95">
        <f>IF($S95=1,"",$U95-IFERROR(INDEX(Scarcity!$D$5:$D$9,MATCH($D95,Scarcity!$A$5:$A$9,0)),0))</f>
        <v/>
      </c>
    </row>
    <row r="96">
      <c r="A96" t="n">
        <v>95</v>
      </c>
      <c r="B96" t="inlineStr">
        <is>
          <t>Bryan Rust</t>
        </is>
      </c>
      <c r="C96" t="inlineStr">
        <is>
          <t>PIT</t>
        </is>
      </c>
      <c r="D96" t="inlineStr">
        <is>
          <t>R</t>
        </is>
      </c>
      <c r="E96" t="inlineStr">
        <is>
          <t>L1</t>
        </is>
      </c>
      <c r="F96" t="inlineStr">
        <is>
          <t>PP1</t>
        </is>
      </c>
      <c r="G96" t="n">
        <v>20.1</v>
      </c>
      <c r="H96" t="n">
        <v>70</v>
      </c>
      <c r="I96" t="n">
        <v>1</v>
      </c>
      <c r="J96" t="n">
        <v>2</v>
      </c>
      <c r="K96" t="n">
        <v>89.3</v>
      </c>
      <c r="L96" t="n">
        <v>32.1</v>
      </c>
      <c r="M96" t="n">
        <v>27.3</v>
      </c>
      <c r="N96" t="n">
        <v>33.9</v>
      </c>
      <c r="O96" t="n">
        <v>20.5</v>
      </c>
      <c r="P96" t="n">
        <v>169.7</v>
      </c>
      <c r="Q96" t="n">
        <v>43.3</v>
      </c>
      <c r="R96" t="n">
        <v>60.8</v>
      </c>
      <c r="S96">
        <f>IF(COUNTIF(Draft!$C$5:$C$196,$B96)&gt;0,1,0)</f>
        <v/>
      </c>
      <c r="T96">
        <f>IF($S96=0,"",IFERROR(INDEX(Draft!$B$5:$B$196,MATCH($B96,Draft!$C$5:$C$196,0)),""))</f>
        <v/>
      </c>
      <c r="U96" t="n">
        <v>4.4</v>
      </c>
      <c r="V96">
        <f>IF($S96=1,-9999,$U96-ROW()/100000)</f>
        <v/>
      </c>
      <c r="W96">
        <f>IF($S96=1,"",SUMPRODUCT(($D$2:$D$301=$D96)*($V$2:$V$301&gt;$V96))+1)</f>
        <v/>
      </c>
      <c r="X96">
        <f>IF($S96=1,"",$U96-IFERROR(INDEX(Scarcity!$D$5:$D$9,MATCH($D96,Scarcity!$A$5:$A$9,0)),0))</f>
        <v/>
      </c>
    </row>
    <row r="97">
      <c r="A97" t="n">
        <v>96</v>
      </c>
      <c r="B97" t="inlineStr">
        <is>
          <t>Owen Tippett</t>
        </is>
      </c>
      <c r="C97" t="inlineStr">
        <is>
          <t>PHI</t>
        </is>
      </c>
      <c r="D97" t="inlineStr">
        <is>
          <t>R</t>
        </is>
      </c>
      <c r="E97" t="inlineStr">
        <is>
          <t>L2</t>
        </is>
      </c>
      <c r="F97" t="inlineStr">
        <is>
          <t>PP2</t>
        </is>
      </c>
      <c r="G97" t="n">
        <v>15.9</v>
      </c>
      <c r="H97" t="n">
        <v>77</v>
      </c>
      <c r="I97" t="n">
        <v>2</v>
      </c>
      <c r="K97" t="n">
        <v>69.8</v>
      </c>
      <c r="L97" t="n">
        <v>31</v>
      </c>
      <c r="M97" t="n">
        <v>25</v>
      </c>
      <c r="N97" t="n">
        <v>22.8</v>
      </c>
      <c r="O97" t="n">
        <v>7.8</v>
      </c>
      <c r="P97" t="n">
        <v>202.1</v>
      </c>
      <c r="Q97" t="n">
        <v>145.2</v>
      </c>
      <c r="R97" t="n">
        <v>51.1</v>
      </c>
      <c r="S97">
        <f>IF(COUNTIF(Draft!$C$5:$C$196,$B97)&gt;0,1,0)</f>
        <v/>
      </c>
      <c r="T97">
        <f>IF($S97=0,"",IFERROR(INDEX(Draft!$B$5:$B$196,MATCH($B97,Draft!$C$5:$C$196,0)),""))</f>
        <v/>
      </c>
      <c r="U97" t="n">
        <v>4.39</v>
      </c>
      <c r="V97">
        <f>IF($S97=1,-9999,$U97-ROW()/100000)</f>
        <v/>
      </c>
      <c r="W97">
        <f>IF($S97=1,"",SUMPRODUCT(($D$2:$D$301=$D97)*($V$2:$V$301&gt;$V97))+1)</f>
        <v/>
      </c>
      <c r="X97">
        <f>IF($S97=1,"",$U97-IFERROR(INDEX(Scarcity!$D$5:$D$9,MATCH($D97,Scarcity!$A$5:$A$9,0)),0))</f>
        <v/>
      </c>
    </row>
    <row r="98">
      <c r="A98" t="n">
        <v>97</v>
      </c>
      <c r="B98" t="inlineStr">
        <is>
          <t>Logan Cooley</t>
        </is>
      </c>
      <c r="C98" t="inlineStr">
        <is>
          <t>UTA</t>
        </is>
      </c>
      <c r="D98" t="inlineStr">
        <is>
          <t>C</t>
        </is>
      </c>
      <c r="E98" t="inlineStr">
        <is>
          <t>L2</t>
        </is>
      </c>
      <c r="F98" t="inlineStr">
        <is>
          <t>PP1</t>
        </is>
      </c>
      <c r="G98" t="n">
        <v>16.6</v>
      </c>
      <c r="H98" t="n">
        <v>75</v>
      </c>
      <c r="I98" t="n">
        <v>2</v>
      </c>
      <c r="J98" t="n">
        <v>3</v>
      </c>
      <c r="K98" t="n">
        <v>87.3</v>
      </c>
      <c r="L98" t="n">
        <v>34.5</v>
      </c>
      <c r="M98" t="n">
        <v>30.4</v>
      </c>
      <c r="N98" t="n">
        <v>35.8</v>
      </c>
      <c r="O98" t="n">
        <v>19.1</v>
      </c>
      <c r="P98" t="n">
        <v>160.9</v>
      </c>
      <c r="Q98" t="n">
        <v>68.90000000000001</v>
      </c>
      <c r="R98" t="n">
        <v>34.9</v>
      </c>
      <c r="S98">
        <f>IF(COUNTIF(Draft!$C$5:$C$196,$B98)&gt;0,1,0)</f>
        <v/>
      </c>
      <c r="T98">
        <f>IF($S98=0,"",IFERROR(INDEX(Draft!$B$5:$B$196,MATCH($B98,Draft!$C$5:$C$196,0)),""))</f>
        <v/>
      </c>
      <c r="U98" t="n">
        <v>4.3</v>
      </c>
      <c r="V98">
        <f>IF($S98=1,-9999,$U98-ROW()/100000)</f>
        <v/>
      </c>
      <c r="W98">
        <f>IF($S98=1,"",SUMPRODUCT(($D$2:$D$301=$D98)*($V$2:$V$301&gt;$V98))+1)</f>
        <v/>
      </c>
      <c r="X98">
        <f>IF($S98=1,"",$U98-IFERROR(INDEX(Scarcity!$D$5:$D$9,MATCH($D98,Scarcity!$A$5:$A$9,0)),0))</f>
        <v/>
      </c>
    </row>
    <row r="99">
      <c r="A99" t="n">
        <v>98</v>
      </c>
      <c r="B99" t="inlineStr">
        <is>
          <t>William Eklund</t>
        </is>
      </c>
      <c r="C99" t="inlineStr">
        <is>
          <t>OTT</t>
        </is>
      </c>
      <c r="D99" t="inlineStr">
        <is>
          <t>L</t>
        </is>
      </c>
      <c r="E99" t="inlineStr">
        <is>
          <t>L1</t>
        </is>
      </c>
      <c r="F99" t="inlineStr">
        <is>
          <t>PP1</t>
        </is>
      </c>
      <c r="G99" t="n">
        <v>17.7</v>
      </c>
      <c r="H99" t="n">
        <v>79</v>
      </c>
      <c r="I99" t="n">
        <v>1</v>
      </c>
      <c r="K99" t="n">
        <v>91.7</v>
      </c>
      <c r="L99" t="n">
        <v>26.2</v>
      </c>
      <c r="M99" t="n">
        <v>20</v>
      </c>
      <c r="N99" t="n">
        <v>42.7</v>
      </c>
      <c r="O99" t="n">
        <v>18.6</v>
      </c>
      <c r="P99" t="n">
        <v>173</v>
      </c>
      <c r="Q99" t="n">
        <v>66.5</v>
      </c>
      <c r="R99" t="n">
        <v>51.4</v>
      </c>
      <c r="S99">
        <f>IF(COUNTIF(Draft!$C$5:$C$196,$B99)&gt;0,1,0)</f>
        <v/>
      </c>
      <c r="T99">
        <f>IF($S99=0,"",IFERROR(INDEX(Draft!$B$5:$B$196,MATCH($B99,Draft!$C$5:$C$196,0)),""))</f>
        <v/>
      </c>
      <c r="U99" t="n">
        <v>4.27</v>
      </c>
      <c r="V99">
        <f>IF($S99=1,-9999,$U99-ROW()/100000)</f>
        <v/>
      </c>
      <c r="W99">
        <f>IF($S99=1,"",SUMPRODUCT(($D$2:$D$301=$D99)*($V$2:$V$301&gt;$V99))+1)</f>
        <v/>
      </c>
      <c r="X99">
        <f>IF($S99=1,"",$U99-IFERROR(INDEX(Scarcity!$D$5:$D$9,MATCH($D99,Scarcity!$A$5:$A$9,0)),0))</f>
        <v/>
      </c>
    </row>
    <row r="100">
      <c r="A100" t="n">
        <v>99</v>
      </c>
      <c r="B100" t="inlineStr">
        <is>
          <t>Jackson LaCombe</t>
        </is>
      </c>
      <c r="C100" t="inlineStr">
        <is>
          <t>ANA</t>
        </is>
      </c>
      <c r="D100" t="inlineStr">
        <is>
          <t>D</t>
        </is>
      </c>
      <c r="E100" t="inlineStr">
        <is>
          <t>D1</t>
        </is>
      </c>
      <c r="F100" t="inlineStr">
        <is>
          <t>PP1</t>
        </is>
      </c>
      <c r="G100" t="n">
        <v>25.1</v>
      </c>
      <c r="H100" t="n">
        <v>78</v>
      </c>
      <c r="I100" t="n">
        <v>1</v>
      </c>
      <c r="J100" t="n">
        <v>1</v>
      </c>
      <c r="K100" t="n">
        <v>76.5</v>
      </c>
      <c r="L100" t="n">
        <v>34.5</v>
      </c>
      <c r="M100" t="n">
        <v>11.1</v>
      </c>
      <c r="N100" t="n">
        <v>41.3</v>
      </c>
      <c r="O100" t="n">
        <v>13.7</v>
      </c>
      <c r="P100" t="n">
        <v>137.6</v>
      </c>
      <c r="Q100" t="n">
        <v>69.7</v>
      </c>
      <c r="R100" t="n">
        <v>124.5</v>
      </c>
      <c r="S100">
        <f>IF(COUNTIF(Draft!$C$5:$C$196,$B100)&gt;0,1,0)</f>
        <v/>
      </c>
      <c r="T100">
        <f>IF($S100=0,"",IFERROR(INDEX(Draft!$B$5:$B$196,MATCH($B100,Draft!$C$5:$C$196,0)),""))</f>
        <v/>
      </c>
      <c r="U100" t="n">
        <v>4.22</v>
      </c>
      <c r="V100">
        <f>IF($S100=1,-9999,$U100-ROW()/100000)</f>
        <v/>
      </c>
      <c r="W100">
        <f>IF($S100=1,"",SUMPRODUCT(($D$2:$D$301=$D100)*($V$2:$V$301&gt;$V100))+1)</f>
        <v/>
      </c>
      <c r="X100">
        <f>IF($S100=1,"",$U100-IFERROR(INDEX(Scarcity!$D$5:$D$9,MATCH($D100,Scarcity!$A$5:$A$9,0)),0))</f>
        <v/>
      </c>
    </row>
    <row r="101">
      <c r="A101" t="n">
        <v>100</v>
      </c>
      <c r="B101" t="inlineStr">
        <is>
          <t>Steven Stamkos</t>
        </is>
      </c>
      <c r="C101" t="inlineStr">
        <is>
          <t>NSH</t>
        </is>
      </c>
      <c r="D101" t="inlineStr">
        <is>
          <t>C</t>
        </is>
      </c>
      <c r="E101" t="inlineStr">
        <is>
          <t>L2</t>
        </is>
      </c>
      <c r="F101" t="inlineStr">
        <is>
          <t>PP1</t>
        </is>
      </c>
      <c r="G101" t="n">
        <v>16.9</v>
      </c>
      <c r="H101" t="n">
        <v>74</v>
      </c>
      <c r="I101" t="n">
        <v>2</v>
      </c>
      <c r="K101" t="n">
        <v>78.2</v>
      </c>
      <c r="L101" t="n">
        <v>17.9</v>
      </c>
      <c r="M101" t="n">
        <v>29.6</v>
      </c>
      <c r="N101" t="n">
        <v>24</v>
      </c>
      <c r="O101" t="n">
        <v>23.3</v>
      </c>
      <c r="P101" t="n">
        <v>170.1</v>
      </c>
      <c r="Q101" t="n">
        <v>73.09999999999999</v>
      </c>
      <c r="R101" t="n">
        <v>34.9</v>
      </c>
      <c r="S101">
        <f>IF(COUNTIF(Draft!$C$5:$C$196,$B101)&gt;0,1,0)</f>
        <v/>
      </c>
      <c r="T101">
        <f>IF($S101=0,"",IFERROR(INDEX(Draft!$B$5:$B$196,MATCH($B101,Draft!$C$5:$C$196,0)),""))</f>
        <v/>
      </c>
      <c r="U101" t="n">
        <v>4.16</v>
      </c>
      <c r="V101">
        <f>IF($S101=1,-9999,$U101-ROW()/100000)</f>
        <v/>
      </c>
      <c r="W101">
        <f>IF($S101=1,"",SUMPRODUCT(($D$2:$D$301=$D101)*($V$2:$V$301&gt;$V101))+1)</f>
        <v/>
      </c>
      <c r="X101">
        <f>IF($S101=1,"",$U101-IFERROR(INDEX(Scarcity!$D$5:$D$9,MATCH($D101,Scarcity!$A$5:$A$9,0)),0))</f>
        <v/>
      </c>
    </row>
    <row r="102">
      <c r="A102" t="n">
        <v>101</v>
      </c>
      <c r="B102" t="inlineStr">
        <is>
          <t>Brayden Point</t>
        </is>
      </c>
      <c r="C102" t="inlineStr">
        <is>
          <t>TBL</t>
        </is>
      </c>
      <c r="D102" t="inlineStr">
        <is>
          <t>C</t>
        </is>
      </c>
      <c r="E102" t="inlineStr">
        <is>
          <t>L2</t>
        </is>
      </c>
      <c r="F102" t="inlineStr">
        <is>
          <t>PP1</t>
        </is>
      </c>
      <c r="G102" t="n">
        <v>17.6</v>
      </c>
      <c r="H102" t="n">
        <v>77</v>
      </c>
      <c r="I102" t="n">
        <v>2</v>
      </c>
      <c r="K102" t="n">
        <v>96.90000000000001</v>
      </c>
      <c r="L102" t="n">
        <v>19</v>
      </c>
      <c r="M102" t="n">
        <v>32.5</v>
      </c>
      <c r="N102" t="n">
        <v>40.9</v>
      </c>
      <c r="O102" t="n">
        <v>21.1</v>
      </c>
      <c r="P102" t="n">
        <v>168</v>
      </c>
      <c r="Q102" t="n">
        <v>16.1</v>
      </c>
      <c r="R102" t="n">
        <v>33.9</v>
      </c>
      <c r="S102">
        <f>IF(COUNTIF(Draft!$C$5:$C$196,$B102)&gt;0,1,0)</f>
        <v/>
      </c>
      <c r="T102">
        <f>IF($S102=0,"",IFERROR(INDEX(Draft!$B$5:$B$196,MATCH($B102,Draft!$C$5:$C$196,0)),""))</f>
        <v/>
      </c>
      <c r="U102" t="n">
        <v>4.14</v>
      </c>
      <c r="V102">
        <f>IF($S102=1,-9999,$U102-ROW()/100000)</f>
        <v/>
      </c>
      <c r="W102">
        <f>IF($S102=1,"",SUMPRODUCT(($D$2:$D$301=$D102)*($V$2:$V$301&gt;$V102))+1)</f>
        <v/>
      </c>
      <c r="X102">
        <f>IF($S102=1,"",$U102-IFERROR(INDEX(Scarcity!$D$5:$D$9,MATCH($D102,Scarcity!$A$5:$A$9,0)),0))</f>
        <v/>
      </c>
    </row>
    <row r="103">
      <c r="A103" t="n">
        <v>102</v>
      </c>
      <c r="B103" t="inlineStr">
        <is>
          <t>Mark Stone</t>
        </is>
      </c>
      <c r="C103" t="inlineStr">
        <is>
          <t>VGK</t>
        </is>
      </c>
      <c r="D103" t="inlineStr">
        <is>
          <t>R</t>
        </is>
      </c>
      <c r="E103" t="inlineStr">
        <is>
          <t>L1</t>
        </is>
      </c>
      <c r="F103" t="inlineStr">
        <is>
          <t>PP1</t>
        </is>
      </c>
      <c r="G103" t="n">
        <v>18.4</v>
      </c>
      <c r="H103" t="n">
        <v>63</v>
      </c>
      <c r="I103" t="n">
        <v>1</v>
      </c>
      <c r="J103" t="n">
        <v>3</v>
      </c>
      <c r="K103" t="n">
        <v>93.90000000000001</v>
      </c>
      <c r="L103" t="n">
        <v>28.6</v>
      </c>
      <c r="M103" t="n">
        <v>24.2</v>
      </c>
      <c r="N103" t="n">
        <v>46.8</v>
      </c>
      <c r="O103" t="n">
        <v>26.2</v>
      </c>
      <c r="P103" t="n">
        <v>127.3</v>
      </c>
      <c r="Q103" t="n">
        <v>32.2</v>
      </c>
      <c r="R103" t="n">
        <v>44.5</v>
      </c>
      <c r="S103">
        <f>IF(COUNTIF(Draft!$C$5:$C$196,$B103)&gt;0,1,0)</f>
        <v/>
      </c>
      <c r="T103">
        <f>IF($S103=0,"",IFERROR(INDEX(Draft!$B$5:$B$196,MATCH($B103,Draft!$C$5:$C$196,0)),""))</f>
        <v/>
      </c>
      <c r="U103" t="n">
        <v>4.09</v>
      </c>
      <c r="V103">
        <f>IF($S103=1,-9999,$U103-ROW()/100000)</f>
        <v/>
      </c>
      <c r="W103">
        <f>IF($S103=1,"",SUMPRODUCT(($D$2:$D$301=$D103)*($V$2:$V$301&gt;$V103))+1)</f>
        <v/>
      </c>
      <c r="X103">
        <f>IF($S103=1,"",$U103-IFERROR(INDEX(Scarcity!$D$5:$D$9,MATCH($D103,Scarcity!$A$5:$A$9,0)),0))</f>
        <v/>
      </c>
    </row>
    <row r="104">
      <c r="A104" t="n">
        <v>103</v>
      </c>
      <c r="B104" t="inlineStr">
        <is>
          <t>Nikolaj Ehlers</t>
        </is>
      </c>
      <c r="C104" t="inlineStr">
        <is>
          <t>CAR</t>
        </is>
      </c>
      <c r="D104" t="inlineStr">
        <is>
          <t>L</t>
        </is>
      </c>
      <c r="E104" t="inlineStr">
        <is>
          <t>L1</t>
        </is>
      </c>
      <c r="F104" t="inlineStr">
        <is>
          <t>PP1</t>
        </is>
      </c>
      <c r="G104" t="n">
        <v>17.6</v>
      </c>
      <c r="H104" t="n">
        <v>76</v>
      </c>
      <c r="I104" t="n">
        <v>1</v>
      </c>
      <c r="K104" t="n">
        <v>86.7</v>
      </c>
      <c r="L104" t="n">
        <v>26.2</v>
      </c>
      <c r="M104" t="n">
        <v>23.1</v>
      </c>
      <c r="N104" t="n">
        <v>42.6</v>
      </c>
      <c r="O104" t="n">
        <v>25.1</v>
      </c>
      <c r="P104" t="n">
        <v>184.8</v>
      </c>
      <c r="Q104" t="n">
        <v>25.9</v>
      </c>
      <c r="R104" t="n">
        <v>26.3</v>
      </c>
      <c r="S104">
        <f>IF(COUNTIF(Draft!$C$5:$C$196,$B104)&gt;0,1,0)</f>
        <v/>
      </c>
      <c r="T104">
        <f>IF($S104=0,"",IFERROR(INDEX(Draft!$B$5:$B$196,MATCH($B104,Draft!$C$5:$C$196,0)),""))</f>
        <v/>
      </c>
      <c r="U104" t="n">
        <v>4</v>
      </c>
      <c r="V104">
        <f>IF($S104=1,-9999,$U104-ROW()/100000)</f>
        <v/>
      </c>
      <c r="W104">
        <f>IF($S104=1,"",SUMPRODUCT(($D$2:$D$301=$D104)*($V$2:$V$301&gt;$V104))+1)</f>
        <v/>
      </c>
      <c r="X104">
        <f>IF($S104=1,"",$U104-IFERROR(INDEX(Scarcity!$D$5:$D$9,MATCH($D104,Scarcity!$A$5:$A$9,0)),0))</f>
        <v/>
      </c>
    </row>
    <row r="105">
      <c r="A105" t="n">
        <v>104</v>
      </c>
      <c r="B105" t="inlineStr">
        <is>
          <t>Brock Faber</t>
        </is>
      </c>
      <c r="C105" t="inlineStr">
        <is>
          <t>MIN</t>
        </is>
      </c>
      <c r="D105" t="inlineStr">
        <is>
          <t>D</t>
        </is>
      </c>
      <c r="E105" t="inlineStr">
        <is>
          <t>D1</t>
        </is>
      </c>
      <c r="F105" t="inlineStr">
        <is>
          <t>PP1</t>
        </is>
      </c>
      <c r="G105" t="n">
        <v>23.9</v>
      </c>
      <c r="H105" t="n">
        <v>80</v>
      </c>
      <c r="I105" t="n">
        <v>1</v>
      </c>
      <c r="J105" t="n">
        <v>1</v>
      </c>
      <c r="K105" t="n">
        <v>76.5</v>
      </c>
      <c r="L105" t="n">
        <v>23.8</v>
      </c>
      <c r="M105" t="n">
        <v>12.1</v>
      </c>
      <c r="N105" t="n">
        <v>34.4</v>
      </c>
      <c r="O105" t="n">
        <v>13</v>
      </c>
      <c r="P105" t="n">
        <v>160.7</v>
      </c>
      <c r="Q105" t="n">
        <v>37.4</v>
      </c>
      <c r="R105" t="n">
        <v>138.4</v>
      </c>
      <c r="S105">
        <f>IF(COUNTIF(Draft!$C$5:$C$196,$B105)&gt;0,1,0)</f>
        <v/>
      </c>
      <c r="T105">
        <f>IF($S105=0,"",IFERROR(INDEX(Draft!$B$5:$B$196,MATCH($B105,Draft!$C$5:$C$196,0)),""))</f>
        <v/>
      </c>
      <c r="U105" t="n">
        <v>3.98</v>
      </c>
      <c r="V105">
        <f>IF($S105=1,-9999,$U105-ROW()/100000)</f>
        <v/>
      </c>
      <c r="W105">
        <f>IF($S105=1,"",SUMPRODUCT(($D$2:$D$301=$D105)*($V$2:$V$301&gt;$V105))+1)</f>
        <v/>
      </c>
      <c r="X105">
        <f>IF($S105=1,"",$U105-IFERROR(INDEX(Scarcity!$D$5:$D$9,MATCH($D105,Scarcity!$A$5:$A$9,0)),0))</f>
        <v/>
      </c>
    </row>
    <row r="106">
      <c r="A106" t="n">
        <v>105</v>
      </c>
      <c r="B106" t="inlineStr">
        <is>
          <t>Rasmus Andersson</t>
        </is>
      </c>
      <c r="C106" t="inlineStr">
        <is>
          <t>VGK</t>
        </is>
      </c>
      <c r="D106" t="inlineStr">
        <is>
          <t>D</t>
        </is>
      </c>
      <c r="E106" t="inlineStr">
        <is>
          <t>D1</t>
        </is>
      </c>
      <c r="F106" t="inlineStr">
        <is>
          <t>PP2</t>
        </is>
      </c>
      <c r="G106" t="n">
        <v>22.1</v>
      </c>
      <c r="H106" t="n">
        <v>80</v>
      </c>
      <c r="I106" t="n">
        <v>1</v>
      </c>
      <c r="J106" t="n">
        <v>2</v>
      </c>
      <c r="K106" t="n">
        <v>66</v>
      </c>
      <c r="L106" t="n">
        <v>28.6</v>
      </c>
      <c r="M106" t="n">
        <v>12.9</v>
      </c>
      <c r="N106" t="n">
        <v>27.2</v>
      </c>
      <c r="O106" t="n">
        <v>11.5</v>
      </c>
      <c r="P106" t="n">
        <v>159.9</v>
      </c>
      <c r="Q106" t="n">
        <v>37.2</v>
      </c>
      <c r="R106" t="n">
        <v>157.9</v>
      </c>
      <c r="S106">
        <f>IF(COUNTIF(Draft!$C$5:$C$196,$B106)&gt;0,1,0)</f>
        <v/>
      </c>
      <c r="T106">
        <f>IF($S106=0,"",IFERROR(INDEX(Draft!$B$5:$B$196,MATCH($B106,Draft!$C$5:$C$196,0)),""))</f>
        <v/>
      </c>
      <c r="U106" t="n">
        <v>3.97</v>
      </c>
      <c r="V106">
        <f>IF($S106=1,-9999,$U106-ROW()/100000)</f>
        <v/>
      </c>
      <c r="W106">
        <f>IF($S106=1,"",SUMPRODUCT(($D$2:$D$301=$D106)*($V$2:$V$301&gt;$V106))+1)</f>
        <v/>
      </c>
      <c r="X106">
        <f>IF($S106=1,"",$U106-IFERROR(INDEX(Scarcity!$D$5:$D$9,MATCH($D106,Scarcity!$A$5:$A$9,0)),0))</f>
        <v/>
      </c>
    </row>
    <row r="107">
      <c r="A107" t="n">
        <v>106</v>
      </c>
      <c r="B107" t="inlineStr">
        <is>
          <t>Robert Thomas</t>
        </is>
      </c>
      <c r="C107" t="inlineStr">
        <is>
          <t>STL</t>
        </is>
      </c>
      <c r="D107" t="inlineStr">
        <is>
          <t>C</t>
        </is>
      </c>
      <c r="E107" t="inlineStr">
        <is>
          <t>L1</t>
        </is>
      </c>
      <c r="F107" t="inlineStr">
        <is>
          <t>PP1</t>
        </is>
      </c>
      <c r="G107" t="n">
        <v>18.6</v>
      </c>
      <c r="H107" t="n">
        <v>76</v>
      </c>
      <c r="I107" t="n">
        <v>1</v>
      </c>
      <c r="J107" t="n">
        <v>3</v>
      </c>
      <c r="K107" t="n">
        <v>106.3</v>
      </c>
      <c r="L107" t="n">
        <v>20.2</v>
      </c>
      <c r="M107" t="n">
        <v>25</v>
      </c>
      <c r="N107" t="n">
        <v>55.6</v>
      </c>
      <c r="O107" t="n">
        <v>20.2</v>
      </c>
      <c r="P107" t="n">
        <v>134.7</v>
      </c>
      <c r="Q107" t="n">
        <v>13.5</v>
      </c>
      <c r="R107" t="n">
        <v>47.1</v>
      </c>
      <c r="S107">
        <f>IF(COUNTIF(Draft!$C$5:$C$196,$B107)&gt;0,1,0)</f>
        <v/>
      </c>
      <c r="T107">
        <f>IF($S107=0,"",IFERROR(INDEX(Draft!$B$5:$B$196,MATCH($B107,Draft!$C$5:$C$196,0)),""))</f>
        <v/>
      </c>
      <c r="U107" t="n">
        <v>3.96</v>
      </c>
      <c r="V107">
        <f>IF($S107=1,-9999,$U107-ROW()/100000)</f>
        <v/>
      </c>
      <c r="W107">
        <f>IF($S107=1,"",SUMPRODUCT(($D$2:$D$301=$D107)*($V$2:$V$301&gt;$V107))+1)</f>
        <v/>
      </c>
      <c r="X107">
        <f>IF($S107=1,"",$U107-IFERROR(INDEX(Scarcity!$D$5:$D$9,MATCH($D107,Scarcity!$A$5:$A$9,0)),0))</f>
        <v/>
      </c>
    </row>
    <row r="108">
      <c r="A108" t="n">
        <v>107</v>
      </c>
      <c r="B108" t="inlineStr">
        <is>
          <t>Zach Hyman</t>
        </is>
      </c>
      <c r="C108" t="inlineStr">
        <is>
          <t>EDM</t>
        </is>
      </c>
      <c r="D108" t="inlineStr">
        <is>
          <t>L</t>
        </is>
      </c>
      <c r="E108" t="inlineStr">
        <is>
          <t>L1</t>
        </is>
      </c>
      <c r="F108" t="inlineStr">
        <is>
          <t>PP1</t>
        </is>
      </c>
      <c r="G108" t="n">
        <v>19.3</v>
      </c>
      <c r="H108" t="n">
        <v>72</v>
      </c>
      <c r="I108" t="n">
        <v>1</v>
      </c>
      <c r="K108" t="n">
        <v>85.40000000000001</v>
      </c>
      <c r="L108" t="n">
        <v>32.1</v>
      </c>
      <c r="M108" t="n">
        <v>34.9</v>
      </c>
      <c r="N108" t="n">
        <v>23.6</v>
      </c>
      <c r="O108" t="n">
        <v>17</v>
      </c>
      <c r="P108" t="n">
        <v>192</v>
      </c>
      <c r="Q108" t="n">
        <v>65.8</v>
      </c>
      <c r="R108" t="n">
        <v>23.3</v>
      </c>
      <c r="S108">
        <f>IF(COUNTIF(Draft!$C$5:$C$196,$B108)&gt;0,1,0)</f>
        <v/>
      </c>
      <c r="T108">
        <f>IF($S108=0,"",IFERROR(INDEX(Draft!$B$5:$B$196,MATCH($B108,Draft!$C$5:$C$196,0)),""))</f>
        <v/>
      </c>
      <c r="U108" t="n">
        <v>3.93</v>
      </c>
      <c r="V108">
        <f>IF($S108=1,-9999,$U108-ROW()/100000)</f>
        <v/>
      </c>
      <c r="W108">
        <f>IF($S108=1,"",SUMPRODUCT(($D$2:$D$301=$D108)*($V$2:$V$301&gt;$V108))+1)</f>
        <v/>
      </c>
      <c r="X108">
        <f>IF($S108=1,"",$U108-IFERROR(INDEX(Scarcity!$D$5:$D$9,MATCH($D108,Scarcity!$A$5:$A$9,0)),0))</f>
        <v/>
      </c>
    </row>
    <row r="109">
      <c r="A109" t="n">
        <v>108</v>
      </c>
      <c r="B109" t="inlineStr">
        <is>
          <t>Pavel Dorofeyev</t>
        </is>
      </c>
      <c r="C109" t="inlineStr">
        <is>
          <t>NYR</t>
        </is>
      </c>
      <c r="D109" t="inlineStr">
        <is>
          <t>R</t>
        </is>
      </c>
      <c r="E109" t="inlineStr">
        <is>
          <t>L2</t>
        </is>
      </c>
      <c r="F109" t="inlineStr">
        <is>
          <t>PP1</t>
        </is>
      </c>
      <c r="G109" t="n">
        <v>16.3</v>
      </c>
      <c r="H109" t="n">
        <v>75</v>
      </c>
      <c r="I109" t="n">
        <v>2</v>
      </c>
      <c r="K109" t="n">
        <v>79.59999999999999</v>
      </c>
      <c r="L109" t="n">
        <v>34.5</v>
      </c>
      <c r="M109" t="n">
        <v>31.6</v>
      </c>
      <c r="N109" t="n">
        <v>22.9</v>
      </c>
      <c r="O109" t="n">
        <v>23.8</v>
      </c>
      <c r="P109" t="n">
        <v>206.4</v>
      </c>
      <c r="Q109" t="n">
        <v>26.2</v>
      </c>
      <c r="R109" t="n">
        <v>29.2</v>
      </c>
      <c r="S109">
        <f>IF(COUNTIF(Draft!$C$5:$C$196,$B109)&gt;0,1,0)</f>
        <v/>
      </c>
      <c r="T109">
        <f>IF($S109=0,"",IFERROR(INDEX(Draft!$B$5:$B$196,MATCH($B109,Draft!$C$5:$C$196,0)),""))</f>
        <v/>
      </c>
      <c r="U109" t="n">
        <v>3.92</v>
      </c>
      <c r="V109">
        <f>IF($S109=1,-9999,$U109-ROW()/100000)</f>
        <v/>
      </c>
      <c r="W109">
        <f>IF($S109=1,"",SUMPRODUCT(($D$2:$D$301=$D109)*($V$2:$V$301&gt;$V109))+1)</f>
        <v/>
      </c>
      <c r="X109">
        <f>IF($S109=1,"",$U109-IFERROR(INDEX(Scarcity!$D$5:$D$9,MATCH($D109,Scarcity!$A$5:$A$9,0)),0))</f>
        <v/>
      </c>
    </row>
    <row r="110">
      <c r="A110" t="n">
        <v>109</v>
      </c>
      <c r="B110" t="inlineStr">
        <is>
          <t>Nick Schmaltz</t>
        </is>
      </c>
      <c r="C110" t="inlineStr">
        <is>
          <t>UTA</t>
        </is>
      </c>
      <c r="D110" t="inlineStr">
        <is>
          <t>C</t>
        </is>
      </c>
      <c r="E110" t="inlineStr">
        <is>
          <t>L1</t>
        </is>
      </c>
      <c r="F110" t="inlineStr">
        <is>
          <t>PP1</t>
        </is>
      </c>
      <c r="G110" t="n">
        <v>18.9</v>
      </c>
      <c r="H110" t="n">
        <v>77</v>
      </c>
      <c r="I110" t="n">
        <v>1</v>
      </c>
      <c r="J110" t="n">
        <v>2</v>
      </c>
      <c r="K110" t="n">
        <v>87.09999999999999</v>
      </c>
      <c r="L110" t="n">
        <v>34.5</v>
      </c>
      <c r="M110" t="n">
        <v>25.8</v>
      </c>
      <c r="N110" t="n">
        <v>40.1</v>
      </c>
      <c r="O110" t="n">
        <v>20.7</v>
      </c>
      <c r="P110" t="n">
        <v>175.2</v>
      </c>
      <c r="Q110" t="n">
        <v>19.3</v>
      </c>
      <c r="R110" t="n">
        <v>45.1</v>
      </c>
      <c r="S110">
        <f>IF(COUNTIF(Draft!$C$5:$C$196,$B110)&gt;0,1,0)</f>
        <v/>
      </c>
      <c r="T110">
        <f>IF($S110=0,"",IFERROR(INDEX(Draft!$B$5:$B$196,MATCH($B110,Draft!$C$5:$C$196,0)),""))</f>
        <v/>
      </c>
      <c r="U110" t="n">
        <v>3.87</v>
      </c>
      <c r="V110">
        <f>IF($S110=1,-9999,$U110-ROW()/100000)</f>
        <v/>
      </c>
      <c r="W110">
        <f>IF($S110=1,"",SUMPRODUCT(($D$2:$D$301=$D110)*($V$2:$V$301&gt;$V110))+1)</f>
        <v/>
      </c>
      <c r="X110">
        <f>IF($S110=1,"",$U110-IFERROR(INDEX(Scarcity!$D$5:$D$9,MATCH($D110,Scarcity!$A$5:$A$9,0)),0))</f>
        <v/>
      </c>
    </row>
    <row r="111">
      <c r="A111" t="n">
        <v>110</v>
      </c>
      <c r="B111" t="inlineStr">
        <is>
          <t>Dylan Strome</t>
        </is>
      </c>
      <c r="C111" t="inlineStr">
        <is>
          <t>WSH</t>
        </is>
      </c>
      <c r="D111" t="inlineStr">
        <is>
          <t>C</t>
        </is>
      </c>
      <c r="E111" t="inlineStr">
        <is>
          <t>L1</t>
        </is>
      </c>
      <c r="F111" t="inlineStr">
        <is>
          <t>PP1</t>
        </is>
      </c>
      <c r="G111" t="n">
        <v>18</v>
      </c>
      <c r="H111" t="n">
        <v>81</v>
      </c>
      <c r="I111" t="n">
        <v>1</v>
      </c>
      <c r="K111" t="n">
        <v>88.3</v>
      </c>
      <c r="L111" t="n">
        <v>32.1</v>
      </c>
      <c r="M111" t="n">
        <v>22.8</v>
      </c>
      <c r="N111" t="n">
        <v>44.1</v>
      </c>
      <c r="O111" t="n">
        <v>25.1</v>
      </c>
      <c r="P111" t="n">
        <v>141</v>
      </c>
      <c r="Q111" t="n">
        <v>14.9</v>
      </c>
      <c r="R111" t="n">
        <v>52.7</v>
      </c>
      <c r="S111">
        <f>IF(COUNTIF(Draft!$C$5:$C$196,$B111)&gt;0,1,0)</f>
        <v/>
      </c>
      <c r="T111">
        <f>IF($S111=0,"",IFERROR(INDEX(Draft!$B$5:$B$196,MATCH($B111,Draft!$C$5:$C$196,0)),""))</f>
        <v/>
      </c>
      <c r="U111" t="n">
        <v>3.82</v>
      </c>
      <c r="V111">
        <f>IF($S111=1,-9999,$U111-ROW()/100000)</f>
        <v/>
      </c>
      <c r="W111">
        <f>IF($S111=1,"",SUMPRODUCT(($D$2:$D$301=$D111)*($V$2:$V$301&gt;$V111))+1)</f>
        <v/>
      </c>
      <c r="X111">
        <f>IF($S111=1,"",$U111-IFERROR(INDEX(Scarcity!$D$5:$D$9,MATCH($D111,Scarcity!$A$5:$A$9,0)),0))</f>
        <v/>
      </c>
    </row>
    <row r="112">
      <c r="A112" t="n">
        <v>111</v>
      </c>
      <c r="B112" t="inlineStr">
        <is>
          <t>Filip Hronek</t>
        </is>
      </c>
      <c r="C112" t="inlineStr">
        <is>
          <t>VAN</t>
        </is>
      </c>
      <c r="D112" t="inlineStr">
        <is>
          <t>D</t>
        </is>
      </c>
      <c r="E112" t="inlineStr">
        <is>
          <t>D1</t>
        </is>
      </c>
      <c r="F112" t="inlineStr">
        <is>
          <t>PP1</t>
        </is>
      </c>
      <c r="G112" t="n">
        <v>26.3</v>
      </c>
      <c r="H112" t="n">
        <v>77</v>
      </c>
      <c r="I112" t="n">
        <v>1</v>
      </c>
      <c r="J112" t="n">
        <v>1</v>
      </c>
      <c r="K112" t="n">
        <v>74.3</v>
      </c>
      <c r="L112" t="n">
        <v>31</v>
      </c>
      <c r="M112" t="n">
        <v>7.1</v>
      </c>
      <c r="N112" t="n">
        <v>38</v>
      </c>
      <c r="O112" t="n">
        <v>17.1</v>
      </c>
      <c r="P112" t="n">
        <v>119.5</v>
      </c>
      <c r="Q112" t="n">
        <v>119.9</v>
      </c>
      <c r="R112" t="n">
        <v>92.7</v>
      </c>
      <c r="S112">
        <f>IF(COUNTIF(Draft!$C$5:$C$196,$B112)&gt;0,1,0)</f>
        <v/>
      </c>
      <c r="T112">
        <f>IF($S112=0,"",IFERROR(INDEX(Draft!$B$5:$B$196,MATCH($B112,Draft!$C$5:$C$196,0)),""))</f>
        <v/>
      </c>
      <c r="U112" t="n">
        <v>3.73</v>
      </c>
      <c r="V112">
        <f>IF($S112=1,-9999,$U112-ROW()/100000)</f>
        <v/>
      </c>
      <c r="W112">
        <f>IF($S112=1,"",SUMPRODUCT(($D$2:$D$301=$D112)*($V$2:$V$301&gt;$V112))+1)</f>
        <v/>
      </c>
      <c r="X112">
        <f>IF($S112=1,"",$U112-IFERROR(INDEX(Scarcity!$D$5:$D$9,MATCH($D112,Scarcity!$A$5:$A$9,0)),0))</f>
        <v/>
      </c>
    </row>
    <row r="113">
      <c r="A113" t="n">
        <v>112</v>
      </c>
      <c r="B113" t="inlineStr">
        <is>
          <t>Will Smith</t>
        </is>
      </c>
      <c r="C113" t="inlineStr">
        <is>
          <t>SJS</t>
        </is>
      </c>
      <c r="D113" t="inlineStr">
        <is>
          <t>C</t>
        </is>
      </c>
      <c r="E113" t="inlineStr">
        <is>
          <t>L1</t>
        </is>
      </c>
      <c r="F113" t="inlineStr">
        <is>
          <t>PP1</t>
        </is>
      </c>
      <c r="G113" t="n">
        <v>18.2</v>
      </c>
      <c r="H113" t="n">
        <v>77</v>
      </c>
      <c r="I113" t="n">
        <v>1</v>
      </c>
      <c r="J113" t="n">
        <v>3</v>
      </c>
      <c r="K113" t="n">
        <v>92.5</v>
      </c>
      <c r="L113" t="n">
        <v>31</v>
      </c>
      <c r="M113" t="n">
        <v>27.3</v>
      </c>
      <c r="N113" t="n">
        <v>42.7</v>
      </c>
      <c r="O113" t="n">
        <v>21.2</v>
      </c>
      <c r="P113" t="n">
        <v>188.9</v>
      </c>
      <c r="Q113" t="n">
        <v>19</v>
      </c>
      <c r="R113" t="n">
        <v>17.9</v>
      </c>
      <c r="S113">
        <f>IF(COUNTIF(Draft!$C$5:$C$196,$B113)&gt;0,1,0)</f>
        <v/>
      </c>
      <c r="T113">
        <f>IF($S113=0,"",IFERROR(INDEX(Draft!$B$5:$B$196,MATCH($B113,Draft!$C$5:$C$196,0)),""))</f>
        <v/>
      </c>
      <c r="U113" t="n">
        <v>3.72</v>
      </c>
      <c r="V113">
        <f>IF($S113=1,-9999,$U113-ROW()/100000)</f>
        <v/>
      </c>
      <c r="W113">
        <f>IF($S113=1,"",SUMPRODUCT(($D$2:$D$301=$D113)*($V$2:$V$301&gt;$V113))+1)</f>
        <v/>
      </c>
      <c r="X113">
        <f>IF($S113=1,"",$U113-IFERROR(INDEX(Scarcity!$D$5:$D$9,MATCH($D113,Scarcity!$A$5:$A$9,0)),0))</f>
        <v/>
      </c>
    </row>
    <row r="114">
      <c r="A114" t="n">
        <v>113</v>
      </c>
      <c r="B114" t="inlineStr">
        <is>
          <t>Darnell Nurse</t>
        </is>
      </c>
      <c r="C114" t="inlineStr">
        <is>
          <t>SJS</t>
        </is>
      </c>
      <c r="D114" t="inlineStr">
        <is>
          <t>D</t>
        </is>
      </c>
      <c r="E114" t="inlineStr">
        <is>
          <t>D2</t>
        </is>
      </c>
      <c r="F114" t="inlineStr">
        <is>
          <t>PP2</t>
        </is>
      </c>
      <c r="G114" t="n">
        <v>20.9</v>
      </c>
      <c r="H114" t="n">
        <v>80</v>
      </c>
      <c r="I114" t="n">
        <v>2</v>
      </c>
      <c r="J114" t="n">
        <v>1</v>
      </c>
      <c r="K114" t="n">
        <v>47.2</v>
      </c>
      <c r="L114" t="n">
        <v>31</v>
      </c>
      <c r="M114" t="n">
        <v>6.2</v>
      </c>
      <c r="N114" t="n">
        <v>18.7</v>
      </c>
      <c r="O114" t="n">
        <v>0.9</v>
      </c>
      <c r="P114" t="n">
        <v>160.3</v>
      </c>
      <c r="Q114" t="n">
        <v>142.4</v>
      </c>
      <c r="R114" t="n">
        <v>155.2</v>
      </c>
      <c r="S114">
        <f>IF(COUNTIF(Draft!$C$5:$C$196,$B114)&gt;0,1,0)</f>
        <v/>
      </c>
      <c r="T114">
        <f>IF($S114=0,"",IFERROR(INDEX(Draft!$B$5:$B$196,MATCH($B114,Draft!$C$5:$C$196,0)),""))</f>
        <v/>
      </c>
      <c r="U114" t="n">
        <v>3.57</v>
      </c>
      <c r="V114">
        <f>IF($S114=1,-9999,$U114-ROW()/100000)</f>
        <v/>
      </c>
      <c r="W114">
        <f>IF($S114=1,"",SUMPRODUCT(($D$2:$D$301=$D114)*($V$2:$V$301&gt;$V114))+1)</f>
        <v/>
      </c>
      <c r="X114">
        <f>IF($S114=1,"",$U114-IFERROR(INDEX(Scarcity!$D$5:$D$9,MATCH($D114,Scarcity!$A$5:$A$9,0)),0))</f>
        <v/>
      </c>
    </row>
    <row r="115">
      <c r="A115" t="n">
        <v>114</v>
      </c>
      <c r="B115" t="inlineStr">
        <is>
          <t>Shayne Gostisbehere</t>
        </is>
      </c>
      <c r="C115" t="inlineStr">
        <is>
          <t>CAR</t>
        </is>
      </c>
      <c r="D115" t="inlineStr">
        <is>
          <t>D</t>
        </is>
      </c>
      <c r="E115" t="inlineStr">
        <is>
          <t>D3</t>
        </is>
      </c>
      <c r="F115" t="inlineStr">
        <is>
          <t>PP1</t>
        </is>
      </c>
      <c r="G115" t="n">
        <v>19</v>
      </c>
      <c r="H115" t="n">
        <v>72</v>
      </c>
      <c r="I115" t="n">
        <v>3</v>
      </c>
      <c r="J115" t="n">
        <v>3</v>
      </c>
      <c r="K115" t="n">
        <v>81.09999999999999</v>
      </c>
      <c r="L115" t="n">
        <v>26.2</v>
      </c>
      <c r="M115" t="n">
        <v>11.9</v>
      </c>
      <c r="N115" t="n">
        <v>43.7</v>
      </c>
      <c r="O115" t="n">
        <v>24.2</v>
      </c>
      <c r="P115" t="n">
        <v>131.3</v>
      </c>
      <c r="Q115" t="n">
        <v>37.4</v>
      </c>
      <c r="R115" t="n">
        <v>75.7</v>
      </c>
      <c r="S115">
        <f>IF(COUNTIF(Draft!$C$5:$C$196,$B115)&gt;0,1,0)</f>
        <v/>
      </c>
      <c r="T115">
        <f>IF($S115=0,"",IFERROR(INDEX(Draft!$B$5:$B$196,MATCH($B115,Draft!$C$5:$C$196,0)),""))</f>
        <v/>
      </c>
      <c r="U115" t="n">
        <v>3.47</v>
      </c>
      <c r="V115">
        <f>IF($S115=1,-9999,$U115-ROW()/100000)</f>
        <v/>
      </c>
      <c r="W115">
        <f>IF($S115=1,"",SUMPRODUCT(($D$2:$D$301=$D115)*($V$2:$V$301&gt;$V115))+1)</f>
        <v/>
      </c>
      <c r="X115">
        <f>IF($S115=1,"",$U115-IFERROR(INDEX(Scarcity!$D$5:$D$9,MATCH($D115,Scarcity!$A$5:$A$9,0)),0))</f>
        <v/>
      </c>
    </row>
    <row r="116">
      <c r="A116" t="n">
        <v>115</v>
      </c>
      <c r="B116" t="inlineStr">
        <is>
          <t>Jacob Trouba</t>
        </is>
      </c>
      <c r="C116" t="inlineStr">
        <is>
          <t>SJS</t>
        </is>
      </c>
      <c r="D116" t="inlineStr">
        <is>
          <t>D</t>
        </is>
      </c>
      <c r="E116" t="inlineStr">
        <is>
          <t>D1</t>
        </is>
      </c>
      <c r="F116" t="inlineStr"/>
      <c r="G116" t="n">
        <v>22.4</v>
      </c>
      <c r="H116" t="n">
        <v>78</v>
      </c>
      <c r="I116" t="n">
        <v>1</v>
      </c>
      <c r="J116" t="n">
        <v>1</v>
      </c>
      <c r="K116" t="n">
        <v>47.5</v>
      </c>
      <c r="L116" t="n">
        <v>31</v>
      </c>
      <c r="M116" t="n">
        <v>5.6</v>
      </c>
      <c r="N116" t="n">
        <v>19.3</v>
      </c>
      <c r="O116" t="n">
        <v>0.8</v>
      </c>
      <c r="P116" t="n">
        <v>139</v>
      </c>
      <c r="Q116" t="n">
        <v>149.3</v>
      </c>
      <c r="R116" t="n">
        <v>160.5</v>
      </c>
      <c r="S116">
        <f>IF(COUNTIF(Draft!$C$5:$C$196,$B116)&gt;0,1,0)</f>
        <v/>
      </c>
      <c r="T116">
        <f>IF($S116=0,"",IFERROR(INDEX(Draft!$B$5:$B$196,MATCH($B116,Draft!$C$5:$C$196,0)),""))</f>
        <v/>
      </c>
      <c r="U116" t="n">
        <v>3.44</v>
      </c>
      <c r="V116">
        <f>IF($S116=1,-9999,$U116-ROW()/100000)</f>
        <v/>
      </c>
      <c r="W116">
        <f>IF($S116=1,"",SUMPRODUCT(($D$2:$D$301=$D116)*($V$2:$V$301&gt;$V116))+1)</f>
        <v/>
      </c>
      <c r="X116">
        <f>IF($S116=1,"",$U116-IFERROR(INDEX(Scarcity!$D$5:$D$9,MATCH($D116,Scarcity!$A$5:$A$9,0)),0))</f>
        <v/>
      </c>
    </row>
    <row r="117">
      <c r="A117" t="n">
        <v>116</v>
      </c>
      <c r="B117" t="inlineStr">
        <is>
          <t>Nazem Kadri</t>
        </is>
      </c>
      <c r="C117" t="inlineStr">
        <is>
          <t>COL</t>
        </is>
      </c>
      <c r="D117" t="inlineStr">
        <is>
          <t>C</t>
        </is>
      </c>
      <c r="E117" t="inlineStr">
        <is>
          <t>L2</t>
        </is>
      </c>
      <c r="F117" t="inlineStr">
        <is>
          <t>PP1</t>
        </is>
      </c>
      <c r="G117" t="n">
        <v>18.1</v>
      </c>
      <c r="H117" t="n">
        <v>74</v>
      </c>
      <c r="I117" t="n">
        <v>2</v>
      </c>
      <c r="K117" t="n">
        <v>79.8</v>
      </c>
      <c r="L117" t="n">
        <v>35.7</v>
      </c>
      <c r="M117" t="n">
        <v>22.7</v>
      </c>
      <c r="N117" t="n">
        <v>32</v>
      </c>
      <c r="O117" t="n">
        <v>18.6</v>
      </c>
      <c r="P117" t="n">
        <v>205</v>
      </c>
      <c r="Q117" t="n">
        <v>49.3</v>
      </c>
      <c r="R117" t="n">
        <v>27.3</v>
      </c>
      <c r="S117">
        <f>IF(COUNTIF(Draft!$C$5:$C$196,$B117)&gt;0,1,0)</f>
        <v/>
      </c>
      <c r="T117">
        <f>IF($S117=0,"",IFERROR(INDEX(Draft!$B$5:$B$196,MATCH($B117,Draft!$C$5:$C$196,0)),""))</f>
        <v/>
      </c>
      <c r="U117" t="n">
        <v>3.43</v>
      </c>
      <c r="V117">
        <f>IF($S117=1,-9999,$U117-ROW()/100000)</f>
        <v/>
      </c>
      <c r="W117">
        <f>IF($S117=1,"",SUMPRODUCT(($D$2:$D$301=$D117)*($V$2:$V$301&gt;$V117))+1)</f>
        <v/>
      </c>
      <c r="X117">
        <f>IF($S117=1,"",$U117-IFERROR(INDEX(Scarcity!$D$5:$D$9,MATCH($D117,Scarcity!$A$5:$A$9,0)),0))</f>
        <v/>
      </c>
    </row>
    <row r="118">
      <c r="A118" t="n">
        <v>117</v>
      </c>
      <c r="B118" t="inlineStr">
        <is>
          <t>Alexis Lafrenière</t>
        </is>
      </c>
      <c r="C118" t="inlineStr">
        <is>
          <t>NYR</t>
        </is>
      </c>
      <c r="D118" t="inlineStr">
        <is>
          <t>L</t>
        </is>
      </c>
      <c r="E118" t="inlineStr">
        <is>
          <t>L1</t>
        </is>
      </c>
      <c r="F118" t="inlineStr">
        <is>
          <t>PP1</t>
        </is>
      </c>
      <c r="G118" t="n">
        <v>18.4</v>
      </c>
      <c r="H118" t="n">
        <v>81</v>
      </c>
      <c r="I118" t="n">
        <v>1</v>
      </c>
      <c r="K118" t="n">
        <v>83.59999999999999</v>
      </c>
      <c r="L118" t="n">
        <v>34.5</v>
      </c>
      <c r="M118" t="n">
        <v>23.6</v>
      </c>
      <c r="N118" t="n">
        <v>33.7</v>
      </c>
      <c r="O118" t="n">
        <v>12.7</v>
      </c>
      <c r="P118" t="n">
        <v>166.1</v>
      </c>
      <c r="Q118" t="n">
        <v>93.2</v>
      </c>
      <c r="R118" t="n">
        <v>36.1</v>
      </c>
      <c r="S118">
        <f>IF(COUNTIF(Draft!$C$5:$C$196,$B118)&gt;0,1,0)</f>
        <v/>
      </c>
      <c r="T118">
        <f>IF($S118=0,"",IFERROR(INDEX(Draft!$B$5:$B$196,MATCH($B118,Draft!$C$5:$C$196,0)),""))</f>
        <v/>
      </c>
      <c r="U118" t="n">
        <v>3.39</v>
      </c>
      <c r="V118">
        <f>IF($S118=1,-9999,$U118-ROW()/100000)</f>
        <v/>
      </c>
      <c r="W118">
        <f>IF($S118=1,"",SUMPRODUCT(($D$2:$D$301=$D118)*($V$2:$V$301&gt;$V118))+1)</f>
        <v/>
      </c>
      <c r="X118">
        <f>IF($S118=1,"",$U118-IFERROR(INDEX(Scarcity!$D$5:$D$9,MATCH($D118,Scarcity!$A$5:$A$9,0)),0))</f>
        <v/>
      </c>
    </row>
    <row r="119">
      <c r="A119" t="n">
        <v>118</v>
      </c>
      <c r="B119" t="inlineStr">
        <is>
          <t>Jake DeBrusk</t>
        </is>
      </c>
      <c r="C119" t="inlineStr">
        <is>
          <t>VAN</t>
        </is>
      </c>
      <c r="D119" t="inlineStr">
        <is>
          <t>L</t>
        </is>
      </c>
      <c r="E119" t="inlineStr">
        <is>
          <t>L1</t>
        </is>
      </c>
      <c r="F119" t="inlineStr">
        <is>
          <t>PP1</t>
        </is>
      </c>
      <c r="G119" t="n">
        <v>19.2</v>
      </c>
      <c r="H119" t="n">
        <v>78</v>
      </c>
      <c r="I119" t="n">
        <v>1</v>
      </c>
      <c r="J119" t="n">
        <v>3</v>
      </c>
      <c r="K119" t="n">
        <v>71.8</v>
      </c>
      <c r="L119" t="n">
        <v>31</v>
      </c>
      <c r="M119" t="n">
        <v>24.8</v>
      </c>
      <c r="N119" t="n">
        <v>18.8</v>
      </c>
      <c r="O119" t="n">
        <v>20.4</v>
      </c>
      <c r="P119" t="n">
        <v>184.8</v>
      </c>
      <c r="Q119" t="n">
        <v>74.09999999999999</v>
      </c>
      <c r="R119" t="n">
        <v>36.4</v>
      </c>
      <c r="S119">
        <f>IF(COUNTIF(Draft!$C$5:$C$196,$B119)&gt;0,1,0)</f>
        <v/>
      </c>
      <c r="T119">
        <f>IF($S119=0,"",IFERROR(INDEX(Draft!$B$5:$B$196,MATCH($B119,Draft!$C$5:$C$196,0)),""))</f>
        <v/>
      </c>
      <c r="U119" t="n">
        <v>3.35</v>
      </c>
      <c r="V119">
        <f>IF($S119=1,-9999,$U119-ROW()/100000)</f>
        <v/>
      </c>
      <c r="W119">
        <f>IF($S119=1,"",SUMPRODUCT(($D$2:$D$301=$D119)*($V$2:$V$301&gt;$V119))+1)</f>
        <v/>
      </c>
      <c r="X119">
        <f>IF($S119=1,"",$U119-IFERROR(INDEX(Scarcity!$D$5:$D$9,MATCH($D119,Scarcity!$A$5:$A$9,0)),0))</f>
        <v/>
      </c>
    </row>
    <row r="120">
      <c r="A120" t="n">
        <v>119</v>
      </c>
      <c r="B120" t="inlineStr">
        <is>
          <t>Mathew Barzal</t>
        </is>
      </c>
      <c r="C120" t="inlineStr">
        <is>
          <t>NYI</t>
        </is>
      </c>
      <c r="D120" t="inlineStr">
        <is>
          <t>C</t>
        </is>
      </c>
      <c r="E120" t="inlineStr">
        <is>
          <t>L1</t>
        </is>
      </c>
      <c r="F120" t="inlineStr">
        <is>
          <t>PP1</t>
        </is>
      </c>
      <c r="G120" t="n">
        <v>19.5</v>
      </c>
      <c r="H120" t="n">
        <v>71</v>
      </c>
      <c r="I120" t="n">
        <v>1</v>
      </c>
      <c r="K120" t="n">
        <v>86.5</v>
      </c>
      <c r="L120" t="n">
        <v>22.6</v>
      </c>
      <c r="M120" t="n">
        <v>18</v>
      </c>
      <c r="N120" t="n">
        <v>47.6</v>
      </c>
      <c r="O120" t="n">
        <v>18.3</v>
      </c>
      <c r="P120" t="n">
        <v>163.5</v>
      </c>
      <c r="Q120" t="n">
        <v>31.3</v>
      </c>
      <c r="R120" t="n">
        <v>44.8</v>
      </c>
      <c r="S120">
        <f>IF(COUNTIF(Draft!$C$5:$C$196,$B120)&gt;0,1,0)</f>
        <v/>
      </c>
      <c r="T120">
        <f>IF($S120=0,"",IFERROR(INDEX(Draft!$B$5:$B$196,MATCH($B120,Draft!$C$5:$C$196,0)),""))</f>
        <v/>
      </c>
      <c r="U120" t="n">
        <v>3.32</v>
      </c>
      <c r="V120">
        <f>IF($S120=1,-9999,$U120-ROW()/100000)</f>
        <v/>
      </c>
      <c r="W120">
        <f>IF($S120=1,"",SUMPRODUCT(($D$2:$D$301=$D120)*($V$2:$V$301&gt;$V120))+1)</f>
        <v/>
      </c>
      <c r="X120">
        <f>IF($S120=1,"",$U120-IFERROR(INDEX(Scarcity!$D$5:$D$9,MATCH($D120,Scarcity!$A$5:$A$9,0)),0))</f>
        <v/>
      </c>
    </row>
    <row r="121">
      <c r="A121" t="n">
        <v>120</v>
      </c>
      <c r="B121" t="inlineStr">
        <is>
          <t>Erik Karlsson</t>
        </is>
      </c>
      <c r="C121" t="inlineStr">
        <is>
          <t>PIT</t>
        </is>
      </c>
      <c r="D121" t="inlineStr">
        <is>
          <t>D</t>
        </is>
      </c>
      <c r="E121" t="inlineStr">
        <is>
          <t>D1</t>
        </is>
      </c>
      <c r="F121" t="inlineStr">
        <is>
          <t>PP1</t>
        </is>
      </c>
      <c r="G121" t="n">
        <v>23.9</v>
      </c>
      <c r="H121" t="n">
        <v>72</v>
      </c>
      <c r="I121" t="n">
        <v>1</v>
      </c>
      <c r="J121" t="n">
        <v>1</v>
      </c>
      <c r="K121" t="n">
        <v>84.8</v>
      </c>
      <c r="L121" t="n">
        <v>32.1</v>
      </c>
      <c r="M121" t="n">
        <v>12.2</v>
      </c>
      <c r="N121" t="n">
        <v>45.8</v>
      </c>
      <c r="O121" t="n">
        <v>21.1</v>
      </c>
      <c r="P121" t="n">
        <v>158.8</v>
      </c>
      <c r="Q121" t="n">
        <v>22.2</v>
      </c>
      <c r="R121" t="n">
        <v>68.59999999999999</v>
      </c>
      <c r="S121">
        <f>IF(COUNTIF(Draft!$C$5:$C$196,$B121)&gt;0,1,0)</f>
        <v/>
      </c>
      <c r="T121">
        <f>IF($S121=0,"",IFERROR(INDEX(Draft!$B$5:$B$196,MATCH($B121,Draft!$C$5:$C$196,0)),""))</f>
        <v/>
      </c>
      <c r="U121" t="n">
        <v>3.32</v>
      </c>
      <c r="V121">
        <f>IF($S121=1,-9999,$U121-ROW()/100000)</f>
        <v/>
      </c>
      <c r="W121">
        <f>IF($S121=1,"",SUMPRODUCT(($D$2:$D$301=$D121)*($V$2:$V$301&gt;$V121))+1)</f>
        <v/>
      </c>
      <c r="X121">
        <f>IF($S121=1,"",$U121-IFERROR(INDEX(Scarcity!$D$5:$D$9,MATCH($D121,Scarcity!$A$5:$A$9,0)),0))</f>
        <v/>
      </c>
    </row>
    <row r="122">
      <c r="A122" t="n">
        <v>121</v>
      </c>
      <c r="B122" t="inlineStr">
        <is>
          <t>Brandon Montour</t>
        </is>
      </c>
      <c r="C122" t="inlineStr">
        <is>
          <t>SEA</t>
        </is>
      </c>
      <c r="D122" t="inlineStr">
        <is>
          <t>D</t>
        </is>
      </c>
      <c r="E122" t="inlineStr">
        <is>
          <t>D1</t>
        </is>
      </c>
      <c r="F122" t="inlineStr">
        <is>
          <t>PP2</t>
        </is>
      </c>
      <c r="G122" t="n">
        <v>22.2</v>
      </c>
      <c r="H122" t="n">
        <v>75</v>
      </c>
      <c r="I122" t="n">
        <v>1</v>
      </c>
      <c r="J122" t="n">
        <v>3</v>
      </c>
      <c r="K122" t="n">
        <v>62</v>
      </c>
      <c r="L122" t="n">
        <v>27.4</v>
      </c>
      <c r="M122" t="n">
        <v>13</v>
      </c>
      <c r="N122" t="n">
        <v>24.5</v>
      </c>
      <c r="O122" t="n">
        <v>10.9</v>
      </c>
      <c r="P122" t="n">
        <v>192.5</v>
      </c>
      <c r="Q122" t="n">
        <v>85.59999999999999</v>
      </c>
      <c r="R122" t="n">
        <v>89</v>
      </c>
      <c r="S122">
        <f>IF(COUNTIF(Draft!$C$5:$C$196,$B122)&gt;0,1,0)</f>
        <v/>
      </c>
      <c r="T122">
        <f>IF($S122=0,"",IFERROR(INDEX(Draft!$B$5:$B$196,MATCH($B122,Draft!$C$5:$C$196,0)),""))</f>
        <v/>
      </c>
      <c r="U122" t="n">
        <v>3.32</v>
      </c>
      <c r="V122">
        <f>IF($S122=1,-9999,$U122-ROW()/100000)</f>
        <v/>
      </c>
      <c r="W122">
        <f>IF($S122=1,"",SUMPRODUCT(($D$2:$D$301=$D122)*($V$2:$V$301&gt;$V122))+1)</f>
        <v/>
      </c>
      <c r="X122">
        <f>IF($S122=1,"",$U122-IFERROR(INDEX(Scarcity!$D$5:$D$9,MATCH($D122,Scarcity!$A$5:$A$9,0)),0))</f>
        <v/>
      </c>
    </row>
    <row r="123">
      <c r="A123" t="n">
        <v>122</v>
      </c>
      <c r="B123" t="inlineStr">
        <is>
          <t>Carter Verhaeghe</t>
        </is>
      </c>
      <c r="C123" t="inlineStr">
        <is>
          <t>FLA</t>
        </is>
      </c>
      <c r="D123" t="inlineStr">
        <is>
          <t>C</t>
        </is>
      </c>
      <c r="E123" t="inlineStr">
        <is>
          <t>L2</t>
        </is>
      </c>
      <c r="F123" t="inlineStr">
        <is>
          <t>PP2</t>
        </is>
      </c>
      <c r="G123" t="n">
        <v>16.6</v>
      </c>
      <c r="H123" t="n">
        <v>79</v>
      </c>
      <c r="I123" t="n">
        <v>2</v>
      </c>
      <c r="K123" t="n">
        <v>82.40000000000001</v>
      </c>
      <c r="L123" t="n">
        <v>29.8</v>
      </c>
      <c r="M123" t="n">
        <v>24.6</v>
      </c>
      <c r="N123" t="n">
        <v>31.8</v>
      </c>
      <c r="O123" t="n">
        <v>13.6</v>
      </c>
      <c r="P123" t="n">
        <v>196.5</v>
      </c>
      <c r="Q123" t="n">
        <v>72.59999999999999</v>
      </c>
      <c r="R123" t="n">
        <v>24.3</v>
      </c>
      <c r="S123">
        <f>IF(COUNTIF(Draft!$C$5:$C$196,$B123)&gt;0,1,0)</f>
        <v/>
      </c>
      <c r="T123">
        <f>IF($S123=0,"",IFERROR(INDEX(Draft!$B$5:$B$196,MATCH($B123,Draft!$C$5:$C$196,0)),""))</f>
        <v/>
      </c>
      <c r="U123" t="n">
        <v>3.29</v>
      </c>
      <c r="V123">
        <f>IF($S123=1,-9999,$U123-ROW()/100000)</f>
        <v/>
      </c>
      <c r="W123">
        <f>IF($S123=1,"",SUMPRODUCT(($D$2:$D$301=$D123)*($V$2:$V$301&gt;$V123))+1)</f>
        <v/>
      </c>
      <c r="X123">
        <f>IF($S123=1,"",$U123-IFERROR(INDEX(Scarcity!$D$5:$D$9,MATCH($D123,Scarcity!$A$5:$A$9,0)),0))</f>
        <v/>
      </c>
    </row>
    <row r="124">
      <c r="A124" t="n">
        <v>123</v>
      </c>
      <c r="B124" t="inlineStr">
        <is>
          <t>Brad Marchand</t>
        </is>
      </c>
      <c r="C124" t="inlineStr">
        <is>
          <t>FLA</t>
        </is>
      </c>
      <c r="D124" t="inlineStr">
        <is>
          <t>L</t>
        </is>
      </c>
      <c r="E124" t="inlineStr">
        <is>
          <t>L3</t>
        </is>
      </c>
      <c r="F124" t="inlineStr">
        <is>
          <t>PP2</t>
        </is>
      </c>
      <c r="G124" t="n">
        <v>15.9</v>
      </c>
      <c r="H124" t="n">
        <v>64</v>
      </c>
      <c r="I124" t="n">
        <v>3</v>
      </c>
      <c r="J124" t="n">
        <v>2</v>
      </c>
      <c r="K124" t="n">
        <v>83.40000000000001</v>
      </c>
      <c r="L124" t="n">
        <v>29.8</v>
      </c>
      <c r="M124" t="n">
        <v>25.2</v>
      </c>
      <c r="N124" t="n">
        <v>31.9</v>
      </c>
      <c r="O124" t="n">
        <v>21.2</v>
      </c>
      <c r="P124" t="n">
        <v>163.4</v>
      </c>
      <c r="Q124" t="n">
        <v>57.3</v>
      </c>
      <c r="R124" t="n">
        <v>23.2</v>
      </c>
      <c r="S124">
        <f>IF(COUNTIF(Draft!$C$5:$C$196,$B124)&gt;0,1,0)</f>
        <v/>
      </c>
      <c r="T124">
        <f>IF($S124=0,"",IFERROR(INDEX(Draft!$B$5:$B$196,MATCH($B124,Draft!$C$5:$C$196,0)),""))</f>
        <v/>
      </c>
      <c r="U124" t="n">
        <v>3.26</v>
      </c>
      <c r="V124">
        <f>IF($S124=1,-9999,$U124-ROW()/100000)</f>
        <v/>
      </c>
      <c r="W124">
        <f>IF($S124=1,"",SUMPRODUCT(($D$2:$D$301=$D124)*($V$2:$V$301&gt;$V124))+1)</f>
        <v/>
      </c>
      <c r="X124">
        <f>IF($S124=1,"",$U124-IFERROR(INDEX(Scarcity!$D$5:$D$9,MATCH($D124,Scarcity!$A$5:$A$9,0)),0))</f>
        <v/>
      </c>
    </row>
    <row r="125">
      <c r="A125" t="n">
        <v>124</v>
      </c>
      <c r="B125" t="inlineStr">
        <is>
          <t>Jared McCann</t>
        </is>
      </c>
      <c r="C125" t="inlineStr">
        <is>
          <t>SEA</t>
        </is>
      </c>
      <c r="D125" t="inlineStr">
        <is>
          <t>L</t>
        </is>
      </c>
      <c r="E125" t="inlineStr">
        <is>
          <t>L1</t>
        </is>
      </c>
      <c r="F125" t="inlineStr">
        <is>
          <t>PP1</t>
        </is>
      </c>
      <c r="G125" t="n">
        <v>17.4</v>
      </c>
      <c r="H125" t="n">
        <v>76</v>
      </c>
      <c r="I125" t="n">
        <v>1</v>
      </c>
      <c r="K125" t="n">
        <v>82.2</v>
      </c>
      <c r="L125" t="n">
        <v>27.4</v>
      </c>
      <c r="M125" t="n">
        <v>24.5</v>
      </c>
      <c r="N125" t="n">
        <v>31.8</v>
      </c>
      <c r="O125" t="n">
        <v>18</v>
      </c>
      <c r="P125" t="n">
        <v>170</v>
      </c>
      <c r="Q125" t="n">
        <v>51.9</v>
      </c>
      <c r="R125" t="n">
        <v>37.5</v>
      </c>
      <c r="S125">
        <f>IF(COUNTIF(Draft!$C$5:$C$196,$B125)&gt;0,1,0)</f>
        <v/>
      </c>
      <c r="T125">
        <f>IF($S125=0,"",IFERROR(INDEX(Draft!$B$5:$B$196,MATCH($B125,Draft!$C$5:$C$196,0)),""))</f>
        <v/>
      </c>
      <c r="U125" t="n">
        <v>3.25</v>
      </c>
      <c r="V125">
        <f>IF($S125=1,-9999,$U125-ROW()/100000)</f>
        <v/>
      </c>
      <c r="W125">
        <f>IF($S125=1,"",SUMPRODUCT(($D$2:$D$301=$D125)*($V$2:$V$301&gt;$V125))+1)</f>
        <v/>
      </c>
      <c r="X125">
        <f>IF($S125=1,"",$U125-IFERROR(INDEX(Scarcity!$D$5:$D$9,MATCH($D125,Scarcity!$A$5:$A$9,0)),0))</f>
        <v/>
      </c>
    </row>
    <row r="126">
      <c r="A126" t="n">
        <v>125</v>
      </c>
      <c r="B126" t="inlineStr">
        <is>
          <t>Jimmy Snuggerud</t>
        </is>
      </c>
      <c r="C126" t="inlineStr">
        <is>
          <t>STL</t>
        </is>
      </c>
      <c r="D126" t="inlineStr">
        <is>
          <t>R</t>
        </is>
      </c>
      <c r="E126" t="inlineStr">
        <is>
          <t>L1</t>
        </is>
      </c>
      <c r="F126" t="inlineStr">
        <is>
          <t>PP1</t>
        </is>
      </c>
      <c r="G126" t="n">
        <v>17.5</v>
      </c>
      <c r="H126" t="n">
        <v>66</v>
      </c>
      <c r="I126" t="n">
        <v>1</v>
      </c>
      <c r="K126" t="n">
        <v>84.59999999999999</v>
      </c>
      <c r="L126" t="n">
        <v>20.2</v>
      </c>
      <c r="M126" t="n">
        <v>23.7</v>
      </c>
      <c r="N126" t="n">
        <v>34.3</v>
      </c>
      <c r="O126" t="n">
        <v>13.1</v>
      </c>
      <c r="P126" t="n">
        <v>178.2</v>
      </c>
      <c r="Q126" t="n">
        <v>66.7</v>
      </c>
      <c r="R126" t="n">
        <v>36</v>
      </c>
      <c r="S126">
        <f>IF(COUNTIF(Draft!$C$5:$C$196,$B126)&gt;0,1,0)</f>
        <v/>
      </c>
      <c r="T126">
        <f>IF($S126=0,"",IFERROR(INDEX(Draft!$B$5:$B$196,MATCH($B126,Draft!$C$5:$C$196,0)),""))</f>
        <v/>
      </c>
      <c r="U126" t="n">
        <v>3.19</v>
      </c>
      <c r="V126">
        <f>IF($S126=1,-9999,$U126-ROW()/100000)</f>
        <v/>
      </c>
      <c r="W126">
        <f>IF($S126=1,"",SUMPRODUCT(($D$2:$D$301=$D126)*($V$2:$V$301&gt;$V126))+1)</f>
        <v/>
      </c>
      <c r="X126">
        <f>IF($S126=1,"",$U126-IFERROR(INDEX(Scarcity!$D$5:$D$9,MATCH($D126,Scarcity!$A$5:$A$9,0)),0))</f>
        <v/>
      </c>
    </row>
    <row r="127">
      <c r="A127" t="n">
        <v>126</v>
      </c>
      <c r="B127" t="inlineStr">
        <is>
          <t>Ivan Demidov</t>
        </is>
      </c>
      <c r="C127" t="inlineStr">
        <is>
          <t>MTL</t>
        </is>
      </c>
      <c r="D127" t="inlineStr">
        <is>
          <t>R</t>
        </is>
      </c>
      <c r="E127" t="inlineStr">
        <is>
          <t>L2</t>
        </is>
      </c>
      <c r="F127" t="inlineStr">
        <is>
          <t>PP1</t>
        </is>
      </c>
      <c r="G127" t="n">
        <v>15.1</v>
      </c>
      <c r="H127" t="n">
        <v>73</v>
      </c>
      <c r="I127" t="n">
        <v>2</v>
      </c>
      <c r="K127" t="n">
        <v>91.40000000000001</v>
      </c>
      <c r="L127" t="n">
        <v>26.2</v>
      </c>
      <c r="M127" t="n">
        <v>21.4</v>
      </c>
      <c r="N127" t="n">
        <v>47.7</v>
      </c>
      <c r="O127" t="n">
        <v>23.3</v>
      </c>
      <c r="P127" t="n">
        <v>136.9</v>
      </c>
      <c r="Q127" t="n">
        <v>28.8</v>
      </c>
      <c r="R127" t="n">
        <v>26.3</v>
      </c>
      <c r="S127">
        <f>IF(COUNTIF(Draft!$C$5:$C$196,$B127)&gt;0,1,0)</f>
        <v/>
      </c>
      <c r="T127">
        <f>IF($S127=0,"",IFERROR(INDEX(Draft!$B$5:$B$196,MATCH($B127,Draft!$C$5:$C$196,0)),""))</f>
        <v/>
      </c>
      <c r="U127" t="n">
        <v>3.16</v>
      </c>
      <c r="V127">
        <f>IF($S127=1,-9999,$U127-ROW()/100000)</f>
        <v/>
      </c>
      <c r="W127">
        <f>IF($S127=1,"",SUMPRODUCT(($D$2:$D$301=$D127)*($V$2:$V$301&gt;$V127))+1)</f>
        <v/>
      </c>
      <c r="X127">
        <f>IF($S127=1,"",$U127-IFERROR(INDEX(Scarcity!$D$5:$D$9,MATCH($D127,Scarcity!$A$5:$A$9,0)),0))</f>
        <v/>
      </c>
    </row>
    <row r="128">
      <c r="A128" t="n">
        <v>127</v>
      </c>
      <c r="B128" t="inlineStr">
        <is>
          <t>Evgeni Malkin</t>
        </is>
      </c>
      <c r="C128" t="inlineStr">
        <is>
          <t>PIT</t>
        </is>
      </c>
      <c r="D128" t="inlineStr">
        <is>
          <t>C</t>
        </is>
      </c>
      <c r="E128" t="inlineStr">
        <is>
          <t>L2</t>
        </is>
      </c>
      <c r="F128" t="inlineStr">
        <is>
          <t>PP1</t>
        </is>
      </c>
      <c r="G128" t="n">
        <v>17.7</v>
      </c>
      <c r="H128" t="n">
        <v>61</v>
      </c>
      <c r="I128" t="n">
        <v>2</v>
      </c>
      <c r="K128" t="n">
        <v>86.40000000000001</v>
      </c>
      <c r="L128" t="n">
        <v>32.1</v>
      </c>
      <c r="M128" t="n">
        <v>20.6</v>
      </c>
      <c r="N128" t="n">
        <v>44.8</v>
      </c>
      <c r="O128" t="n">
        <v>23.1</v>
      </c>
      <c r="P128" t="n">
        <v>153.5</v>
      </c>
      <c r="Q128" t="n">
        <v>27.3</v>
      </c>
      <c r="R128" t="n">
        <v>26.7</v>
      </c>
      <c r="S128">
        <f>IF(COUNTIF(Draft!$C$5:$C$196,$B128)&gt;0,1,0)</f>
        <v/>
      </c>
      <c r="T128">
        <f>IF($S128=0,"",IFERROR(INDEX(Draft!$B$5:$B$196,MATCH($B128,Draft!$C$5:$C$196,0)),""))</f>
        <v/>
      </c>
      <c r="U128" t="n">
        <v>3.16</v>
      </c>
      <c r="V128">
        <f>IF($S128=1,-9999,$U128-ROW()/100000)</f>
        <v/>
      </c>
      <c r="W128">
        <f>IF($S128=1,"",SUMPRODUCT(($D$2:$D$301=$D128)*($V$2:$V$301&gt;$V128))+1)</f>
        <v/>
      </c>
      <c r="X128">
        <f>IF($S128=1,"",$U128-IFERROR(INDEX(Scarcity!$D$5:$D$9,MATCH($D128,Scarcity!$A$5:$A$9,0)),0))</f>
        <v/>
      </c>
    </row>
    <row r="129">
      <c r="A129" t="n">
        <v>128</v>
      </c>
      <c r="B129" t="inlineStr">
        <is>
          <t>Ryan Nugent-Hopkins</t>
        </is>
      </c>
      <c r="C129" t="inlineStr">
        <is>
          <t>EDM</t>
        </is>
      </c>
      <c r="D129" t="inlineStr">
        <is>
          <t>C</t>
        </is>
      </c>
      <c r="E129" t="inlineStr">
        <is>
          <t>L1</t>
        </is>
      </c>
      <c r="F129" t="inlineStr">
        <is>
          <t>PP1</t>
        </is>
      </c>
      <c r="G129" t="n">
        <v>19.7</v>
      </c>
      <c r="H129" t="n">
        <v>76</v>
      </c>
      <c r="I129" t="n">
        <v>1</v>
      </c>
      <c r="J129" t="n">
        <v>2</v>
      </c>
      <c r="K129" t="n">
        <v>84.09999999999999</v>
      </c>
      <c r="L129" t="n">
        <v>32.1</v>
      </c>
      <c r="M129" t="n">
        <v>20.3</v>
      </c>
      <c r="N129" t="n">
        <v>37.3</v>
      </c>
      <c r="O129" t="n">
        <v>27.9</v>
      </c>
      <c r="P129" t="n">
        <v>139.3</v>
      </c>
      <c r="Q129" t="n">
        <v>29.3</v>
      </c>
      <c r="R129" t="n">
        <v>34.9</v>
      </c>
      <c r="S129">
        <f>IF(COUNTIF(Draft!$C$5:$C$196,$B129)&gt;0,1,0)</f>
        <v/>
      </c>
      <c r="T129">
        <f>IF($S129=0,"",IFERROR(INDEX(Draft!$B$5:$B$196,MATCH($B129,Draft!$C$5:$C$196,0)),""))</f>
        <v/>
      </c>
      <c r="U129" t="n">
        <v>3.15</v>
      </c>
      <c r="V129">
        <f>IF($S129=1,-9999,$U129-ROW()/100000)</f>
        <v/>
      </c>
      <c r="W129">
        <f>IF($S129=1,"",SUMPRODUCT(($D$2:$D$301=$D129)*($V$2:$V$301&gt;$V129))+1)</f>
        <v/>
      </c>
      <c r="X129">
        <f>IF($S129=1,"",$U129-IFERROR(INDEX(Scarcity!$D$5:$D$9,MATCH($D129,Scarcity!$A$5:$A$9,0)),0))</f>
        <v/>
      </c>
    </row>
    <row r="130">
      <c r="A130" t="n">
        <v>129</v>
      </c>
      <c r="B130" t="inlineStr">
        <is>
          <t>Elias Lindholm</t>
        </is>
      </c>
      <c r="C130" t="inlineStr">
        <is>
          <t>BOS</t>
        </is>
      </c>
      <c r="D130" t="inlineStr">
        <is>
          <t>C</t>
        </is>
      </c>
      <c r="E130" t="inlineStr">
        <is>
          <t>L2</t>
        </is>
      </c>
      <c r="F130" t="inlineStr">
        <is>
          <t>PP1</t>
        </is>
      </c>
      <c r="G130" t="n">
        <v>16.6</v>
      </c>
      <c r="H130" t="n">
        <v>78</v>
      </c>
      <c r="I130" t="n">
        <v>2</v>
      </c>
      <c r="J130" t="n">
        <v>3</v>
      </c>
      <c r="K130" t="n">
        <v>74.2</v>
      </c>
      <c r="L130" t="n">
        <v>28.6</v>
      </c>
      <c r="M130" t="n">
        <v>17.9</v>
      </c>
      <c r="N130" t="n">
        <v>33</v>
      </c>
      <c r="O130" t="n">
        <v>18.8</v>
      </c>
      <c r="P130" t="n">
        <v>130.7</v>
      </c>
      <c r="Q130" t="n">
        <v>68.2</v>
      </c>
      <c r="R130" t="n">
        <v>66.3</v>
      </c>
      <c r="S130">
        <f>IF(COUNTIF(Draft!$C$5:$C$196,$B130)&gt;0,1,0)</f>
        <v/>
      </c>
      <c r="T130">
        <f>IF($S130=0,"",IFERROR(INDEX(Draft!$B$5:$B$196,MATCH($B130,Draft!$C$5:$C$196,0)),""))</f>
        <v/>
      </c>
      <c r="U130" t="n">
        <v>3.14</v>
      </c>
      <c r="V130">
        <f>IF($S130=1,-9999,$U130-ROW()/100000)</f>
        <v/>
      </c>
      <c r="W130">
        <f>IF($S130=1,"",SUMPRODUCT(($D$2:$D$301=$D130)*($V$2:$V$301&gt;$V130))+1)</f>
        <v/>
      </c>
      <c r="X130">
        <f>IF($S130=1,"",$U130-IFERROR(INDEX(Scarcity!$D$5:$D$9,MATCH($D130,Scarcity!$A$5:$A$9,0)),0))</f>
        <v/>
      </c>
    </row>
    <row r="131">
      <c r="A131" t="n">
        <v>130</v>
      </c>
      <c r="B131" t="inlineStr">
        <is>
          <t>John Carlson</t>
        </is>
      </c>
      <c r="C131" t="inlineStr">
        <is>
          <t>TBL</t>
        </is>
      </c>
      <c r="D131" t="inlineStr">
        <is>
          <t>D</t>
        </is>
      </c>
      <c r="E131" t="inlineStr">
        <is>
          <t>D1</t>
        </is>
      </c>
      <c r="F131" t="inlineStr">
        <is>
          <t>PP2</t>
        </is>
      </c>
      <c r="G131" t="n">
        <v>22.4</v>
      </c>
      <c r="H131" t="n">
        <v>70</v>
      </c>
      <c r="I131" t="n">
        <v>1</v>
      </c>
      <c r="J131" t="n">
        <v>2</v>
      </c>
      <c r="K131" t="n">
        <v>75.90000000000001</v>
      </c>
      <c r="L131" t="n">
        <v>19</v>
      </c>
      <c r="M131" t="n">
        <v>9.699999999999999</v>
      </c>
      <c r="N131" t="n">
        <v>42.2</v>
      </c>
      <c r="O131" t="n">
        <v>13.9</v>
      </c>
      <c r="P131" t="n">
        <v>139.6</v>
      </c>
      <c r="Q131" t="n">
        <v>33.6</v>
      </c>
      <c r="R131" t="n">
        <v>110.7</v>
      </c>
      <c r="S131">
        <f>IF(COUNTIF(Draft!$C$5:$C$196,$B131)&gt;0,1,0)</f>
        <v/>
      </c>
      <c r="T131">
        <f>IF($S131=0,"",IFERROR(INDEX(Draft!$B$5:$B$196,MATCH($B131,Draft!$C$5:$C$196,0)),""))</f>
        <v/>
      </c>
      <c r="U131" t="n">
        <v>3.12</v>
      </c>
      <c r="V131">
        <f>IF($S131=1,-9999,$U131-ROW()/100000)</f>
        <v/>
      </c>
      <c r="W131">
        <f>IF($S131=1,"",SUMPRODUCT(($D$2:$D$301=$D131)*($V$2:$V$301&gt;$V131))+1)</f>
        <v/>
      </c>
      <c r="X131">
        <f>IF($S131=1,"",$U131-IFERROR(INDEX(Scarcity!$D$5:$D$9,MATCH($D131,Scarcity!$A$5:$A$9,0)),0))</f>
        <v/>
      </c>
    </row>
    <row r="132">
      <c r="A132" t="n">
        <v>131</v>
      </c>
      <c r="B132" t="inlineStr">
        <is>
          <t>Thomas Harley</t>
        </is>
      </c>
      <c r="C132" t="inlineStr">
        <is>
          <t>DAL</t>
        </is>
      </c>
      <c r="D132" t="inlineStr">
        <is>
          <t>D</t>
        </is>
      </c>
      <c r="E132" t="inlineStr">
        <is>
          <t>D2</t>
        </is>
      </c>
      <c r="F132" t="inlineStr">
        <is>
          <t>PP2</t>
        </is>
      </c>
      <c r="G132" t="n">
        <v>21.9</v>
      </c>
      <c r="H132" t="n">
        <v>75</v>
      </c>
      <c r="I132" t="n">
        <v>2</v>
      </c>
      <c r="J132" t="n">
        <v>2</v>
      </c>
      <c r="K132" t="n">
        <v>73.40000000000001</v>
      </c>
      <c r="L132" t="n">
        <v>31</v>
      </c>
      <c r="M132" t="n">
        <v>10.4</v>
      </c>
      <c r="N132" t="n">
        <v>34.1</v>
      </c>
      <c r="O132" t="n">
        <v>9.9</v>
      </c>
      <c r="P132" t="n">
        <v>135.5</v>
      </c>
      <c r="Q132" t="n">
        <v>41.6</v>
      </c>
      <c r="R132" t="n">
        <v>138.7</v>
      </c>
      <c r="S132">
        <f>IF(COUNTIF(Draft!$C$5:$C$196,$B132)&gt;0,1,0)</f>
        <v/>
      </c>
      <c r="T132">
        <f>IF($S132=0,"",IFERROR(INDEX(Draft!$B$5:$B$196,MATCH($B132,Draft!$C$5:$C$196,0)),""))</f>
        <v/>
      </c>
      <c r="U132" t="n">
        <v>3.1</v>
      </c>
      <c r="V132">
        <f>IF($S132=1,-9999,$U132-ROW()/100000)</f>
        <v/>
      </c>
      <c r="W132">
        <f>IF($S132=1,"",SUMPRODUCT(($D$2:$D$301=$D132)*($V$2:$V$301&gt;$V132))+1)</f>
        <v/>
      </c>
      <c r="X132">
        <f>IF($S132=1,"",$U132-IFERROR(INDEX(Scarcity!$D$5:$D$9,MATCH($D132,Scarcity!$A$5:$A$9,0)),0))</f>
        <v/>
      </c>
    </row>
    <row r="133">
      <c r="A133" t="n">
        <v>132</v>
      </c>
      <c r="B133" t="inlineStr">
        <is>
          <t>Seth Jones</t>
        </is>
      </c>
      <c r="C133" t="inlineStr">
        <is>
          <t>FLA</t>
        </is>
      </c>
      <c r="D133" t="inlineStr">
        <is>
          <t>D</t>
        </is>
      </c>
      <c r="E133" t="inlineStr">
        <is>
          <t>D1</t>
        </is>
      </c>
      <c r="F133" t="inlineStr">
        <is>
          <t>PP1</t>
        </is>
      </c>
      <c r="G133" t="n">
        <v>22.7</v>
      </c>
      <c r="H133" t="n">
        <v>70</v>
      </c>
      <c r="I133" t="n">
        <v>1</v>
      </c>
      <c r="J133" t="n">
        <v>2</v>
      </c>
      <c r="K133" t="n">
        <v>65.09999999999999</v>
      </c>
      <c r="L133" t="n">
        <v>29.8</v>
      </c>
      <c r="M133" t="n">
        <v>9</v>
      </c>
      <c r="N133" t="n">
        <v>30.5</v>
      </c>
      <c r="O133" t="n">
        <v>19</v>
      </c>
      <c r="P133" t="n">
        <v>125</v>
      </c>
      <c r="Q133" t="n">
        <v>77.40000000000001</v>
      </c>
      <c r="R133" t="n">
        <v>98.2</v>
      </c>
      <c r="S133">
        <f>IF(COUNTIF(Draft!$C$5:$C$196,$B133)&gt;0,1,0)</f>
        <v/>
      </c>
      <c r="T133">
        <f>IF($S133=0,"",IFERROR(INDEX(Draft!$B$5:$B$196,MATCH($B133,Draft!$C$5:$C$196,0)),""))</f>
        <v/>
      </c>
      <c r="U133" t="n">
        <v>3.07</v>
      </c>
      <c r="V133">
        <f>IF($S133=1,-9999,$U133-ROW()/100000)</f>
        <v/>
      </c>
      <c r="W133">
        <f>IF($S133=1,"",SUMPRODUCT(($D$2:$D$301=$D133)*($V$2:$V$301&gt;$V133))+1)</f>
        <v/>
      </c>
      <c r="X133">
        <f>IF($S133=1,"",$U133-IFERROR(INDEX(Scarcity!$D$5:$D$9,MATCH($D133,Scarcity!$A$5:$A$9,0)),0))</f>
        <v/>
      </c>
    </row>
    <row r="134">
      <c r="A134" t="n">
        <v>133</v>
      </c>
      <c r="B134" t="inlineStr">
        <is>
          <t>Anton Lundell</t>
        </is>
      </c>
      <c r="C134" t="inlineStr">
        <is>
          <t>FLA</t>
        </is>
      </c>
      <c r="D134" t="inlineStr">
        <is>
          <t>C</t>
        </is>
      </c>
      <c r="E134" t="inlineStr">
        <is>
          <t>L3</t>
        </is>
      </c>
      <c r="F134" t="inlineStr">
        <is>
          <t>PP2</t>
        </is>
      </c>
      <c r="G134" t="n">
        <v>16.3</v>
      </c>
      <c r="H134" t="n">
        <v>76</v>
      </c>
      <c r="I134" t="n">
        <v>3</v>
      </c>
      <c r="J134" t="n">
        <v>1</v>
      </c>
      <c r="K134" t="n">
        <v>74.3</v>
      </c>
      <c r="L134" t="n">
        <v>29.8</v>
      </c>
      <c r="M134" t="n">
        <v>19.9</v>
      </c>
      <c r="N134" t="n">
        <v>31</v>
      </c>
      <c r="O134" t="n">
        <v>13.5</v>
      </c>
      <c r="P134" t="n">
        <v>163.5</v>
      </c>
      <c r="Q134" t="n">
        <v>89</v>
      </c>
      <c r="R134" t="n">
        <v>43.7</v>
      </c>
      <c r="S134">
        <f>IF(COUNTIF(Draft!$C$5:$C$196,$B134)&gt;0,1,0)</f>
        <v/>
      </c>
      <c r="T134">
        <f>IF($S134=0,"",IFERROR(INDEX(Draft!$B$5:$B$196,MATCH($B134,Draft!$C$5:$C$196,0)),""))</f>
        <v/>
      </c>
      <c r="U134" t="n">
        <v>3.02</v>
      </c>
      <c r="V134">
        <f>IF($S134=1,-9999,$U134-ROW()/100000)</f>
        <v/>
      </c>
      <c r="W134">
        <f>IF($S134=1,"",SUMPRODUCT(($D$2:$D$301=$D134)*($V$2:$V$301&gt;$V134))+1)</f>
        <v/>
      </c>
      <c r="X134">
        <f>IF($S134=1,"",$U134-IFERROR(INDEX(Scarcity!$D$5:$D$9,MATCH($D134,Scarcity!$A$5:$A$9,0)),0))</f>
        <v/>
      </c>
    </row>
    <row r="135">
      <c r="A135" t="n">
        <v>134</v>
      </c>
      <c r="B135" t="inlineStr">
        <is>
          <t>Brock Boeser</t>
        </is>
      </c>
      <c r="C135" t="inlineStr">
        <is>
          <t>VAN</t>
        </is>
      </c>
      <c r="D135" t="inlineStr">
        <is>
          <t>R</t>
        </is>
      </c>
      <c r="E135" t="inlineStr">
        <is>
          <t>L2</t>
        </is>
      </c>
      <c r="F135" t="inlineStr">
        <is>
          <t>PP1</t>
        </is>
      </c>
      <c r="G135" t="n">
        <v>19</v>
      </c>
      <c r="H135" t="n">
        <v>78</v>
      </c>
      <c r="I135" t="n">
        <v>2</v>
      </c>
      <c r="J135" t="n">
        <v>2</v>
      </c>
      <c r="K135" t="n">
        <v>76.3</v>
      </c>
      <c r="L135" t="n">
        <v>31</v>
      </c>
      <c r="M135" t="n">
        <v>24.4</v>
      </c>
      <c r="N135" t="n">
        <v>27.8</v>
      </c>
      <c r="O135" t="n">
        <v>20.4</v>
      </c>
      <c r="P135" t="n">
        <v>160.3</v>
      </c>
      <c r="Q135" t="n">
        <v>61</v>
      </c>
      <c r="R135" t="n">
        <v>29.5</v>
      </c>
      <c r="S135">
        <f>IF(COUNTIF(Draft!$C$5:$C$196,$B135)&gt;0,1,0)</f>
        <v/>
      </c>
      <c r="T135">
        <f>IF($S135=0,"",IFERROR(INDEX(Draft!$B$5:$B$196,MATCH($B135,Draft!$C$5:$C$196,0)),""))</f>
        <v/>
      </c>
      <c r="U135" t="n">
        <v>3.01</v>
      </c>
      <c r="V135">
        <f>IF($S135=1,-9999,$U135-ROW()/100000)</f>
        <v/>
      </c>
      <c r="W135">
        <f>IF($S135=1,"",SUMPRODUCT(($D$2:$D$301=$D135)*($V$2:$V$301&gt;$V135))+1)</f>
        <v/>
      </c>
      <c r="X135">
        <f>IF($S135=1,"",$U135-IFERROR(INDEX(Scarcity!$D$5:$D$9,MATCH($D135,Scarcity!$A$5:$A$9,0)),0))</f>
        <v/>
      </c>
    </row>
    <row r="136">
      <c r="A136" t="n">
        <v>135</v>
      </c>
      <c r="B136" t="inlineStr">
        <is>
          <t>Brock Nelson</t>
        </is>
      </c>
      <c r="C136" t="inlineStr">
        <is>
          <t>COL</t>
        </is>
      </c>
      <c r="D136" t="inlineStr">
        <is>
          <t>C</t>
        </is>
      </c>
      <c r="E136" t="inlineStr">
        <is>
          <t>L2</t>
        </is>
      </c>
      <c r="F136" t="inlineStr">
        <is>
          <t>PP2</t>
        </is>
      </c>
      <c r="G136" t="n">
        <v>17.8</v>
      </c>
      <c r="H136" t="n">
        <v>76</v>
      </c>
      <c r="I136" t="n">
        <v>2</v>
      </c>
      <c r="J136" t="n">
        <v>1</v>
      </c>
      <c r="K136" t="n">
        <v>81.5</v>
      </c>
      <c r="L136" t="n">
        <v>35.7</v>
      </c>
      <c r="M136" t="n">
        <v>26.5</v>
      </c>
      <c r="N136" t="n">
        <v>29.3</v>
      </c>
      <c r="O136" t="n">
        <v>14.2</v>
      </c>
      <c r="P136" t="n">
        <v>165.5</v>
      </c>
      <c r="Q136" t="n">
        <v>34.8</v>
      </c>
      <c r="R136" t="n">
        <v>52.2</v>
      </c>
      <c r="S136">
        <f>IF(COUNTIF(Draft!$C$5:$C$196,$B136)&gt;0,1,0)</f>
        <v/>
      </c>
      <c r="T136">
        <f>IF($S136=0,"",IFERROR(INDEX(Draft!$B$5:$B$196,MATCH($B136,Draft!$C$5:$C$196,0)),""))</f>
        <v/>
      </c>
      <c r="U136" t="n">
        <v>2.87</v>
      </c>
      <c r="V136">
        <f>IF($S136=1,-9999,$U136-ROW()/100000)</f>
        <v/>
      </c>
      <c r="W136">
        <f>IF($S136=1,"",SUMPRODUCT(($D$2:$D$301=$D136)*($V$2:$V$301&gt;$V136))+1)</f>
        <v/>
      </c>
      <c r="X136">
        <f>IF($S136=1,"",$U136-IFERROR(INDEX(Scarcity!$D$5:$D$9,MATCH($D136,Scarcity!$A$5:$A$9,0)),0))</f>
        <v/>
      </c>
    </row>
    <row r="137">
      <c r="A137" t="n">
        <v>136</v>
      </c>
      <c r="B137" t="inlineStr">
        <is>
          <t>Ryan O'Reilly</t>
        </is>
      </c>
      <c r="C137" t="inlineStr">
        <is>
          <t>NSH</t>
        </is>
      </c>
      <c r="D137" t="inlineStr">
        <is>
          <t>C</t>
        </is>
      </c>
      <c r="E137" t="inlineStr">
        <is>
          <t>L2</t>
        </is>
      </c>
      <c r="F137" t="inlineStr">
        <is>
          <t>PP1</t>
        </is>
      </c>
      <c r="G137" t="n">
        <v>19.5</v>
      </c>
      <c r="H137" t="n">
        <v>74</v>
      </c>
      <c r="I137" t="n">
        <v>2</v>
      </c>
      <c r="J137" t="n">
        <v>1</v>
      </c>
      <c r="K137" t="n">
        <v>90.8</v>
      </c>
      <c r="L137" t="n">
        <v>17.9</v>
      </c>
      <c r="M137" t="n">
        <v>21.9</v>
      </c>
      <c r="N137" t="n">
        <v>40.3</v>
      </c>
      <c r="O137" t="n">
        <v>18.3</v>
      </c>
      <c r="P137" t="n">
        <v>132.7</v>
      </c>
      <c r="Q137" t="n">
        <v>17</v>
      </c>
      <c r="R137" t="n">
        <v>58.3</v>
      </c>
      <c r="S137">
        <f>IF(COUNTIF(Draft!$C$5:$C$196,$B137)&gt;0,1,0)</f>
        <v/>
      </c>
      <c r="T137">
        <f>IF($S137=0,"",IFERROR(INDEX(Draft!$B$5:$B$196,MATCH($B137,Draft!$C$5:$C$196,0)),""))</f>
        <v/>
      </c>
      <c r="U137" t="n">
        <v>2.81</v>
      </c>
      <c r="V137">
        <f>IF($S137=1,-9999,$U137-ROW()/100000)</f>
        <v/>
      </c>
      <c r="W137">
        <f>IF($S137=1,"",SUMPRODUCT(($D$2:$D$301=$D137)*($V$2:$V$301&gt;$V137))+1)</f>
        <v/>
      </c>
      <c r="X137">
        <f>IF($S137=1,"",$U137-IFERROR(INDEX(Scarcity!$D$5:$D$9,MATCH($D137,Scarcity!$A$5:$A$9,0)),0))</f>
        <v/>
      </c>
    </row>
    <row r="138">
      <c r="A138" t="n">
        <v>137</v>
      </c>
      <c r="B138" t="inlineStr">
        <is>
          <t>Matvei Michkov</t>
        </is>
      </c>
      <c r="C138" t="inlineStr">
        <is>
          <t>PHI</t>
        </is>
      </c>
      <c r="D138" t="inlineStr">
        <is>
          <t>R</t>
        </is>
      </c>
      <c r="E138" t="inlineStr">
        <is>
          <t>L2</t>
        </is>
      </c>
      <c r="F138" t="inlineStr">
        <is>
          <t>PP1</t>
        </is>
      </c>
      <c r="G138" t="n">
        <v>15.2</v>
      </c>
      <c r="H138" t="n">
        <v>78</v>
      </c>
      <c r="I138" t="n">
        <v>2</v>
      </c>
      <c r="K138" t="n">
        <v>88.90000000000001</v>
      </c>
      <c r="L138" t="n">
        <v>31</v>
      </c>
      <c r="M138" t="n">
        <v>23.8</v>
      </c>
      <c r="N138" t="n">
        <v>37.1</v>
      </c>
      <c r="O138" t="n">
        <v>16.5</v>
      </c>
      <c r="P138" t="n">
        <v>182</v>
      </c>
      <c r="Q138" t="n">
        <v>32.7</v>
      </c>
      <c r="R138" t="n">
        <v>22.1</v>
      </c>
      <c r="S138">
        <f>IF(COUNTIF(Draft!$C$5:$C$196,$B138)&gt;0,1,0)</f>
        <v/>
      </c>
      <c r="T138">
        <f>IF($S138=0,"",IFERROR(INDEX(Draft!$B$5:$B$196,MATCH($B138,Draft!$C$5:$C$196,0)),""))</f>
        <v/>
      </c>
      <c r="U138" t="n">
        <v>2.78</v>
      </c>
      <c r="V138">
        <f>IF($S138=1,-9999,$U138-ROW()/100000)</f>
        <v/>
      </c>
      <c r="W138">
        <f>IF($S138=1,"",SUMPRODUCT(($D$2:$D$301=$D138)*($V$2:$V$301&gt;$V138))+1)</f>
        <v/>
      </c>
      <c r="X138">
        <f>IF($S138=1,"",$U138-IFERROR(INDEX(Scarcity!$D$5:$D$9,MATCH($D138,Scarcity!$A$5:$A$9,0)),0))</f>
        <v/>
      </c>
    </row>
    <row r="139">
      <c r="A139" t="n">
        <v>138</v>
      </c>
      <c r="B139" t="inlineStr">
        <is>
          <t>Ryan Leonard</t>
        </is>
      </c>
      <c r="C139" t="inlineStr">
        <is>
          <t>WSH</t>
        </is>
      </c>
      <c r="D139" t="inlineStr">
        <is>
          <t>R</t>
        </is>
      </c>
      <c r="E139" t="inlineStr">
        <is>
          <t>L3</t>
        </is>
      </c>
      <c r="F139" t="inlineStr">
        <is>
          <t>PP2</t>
        </is>
      </c>
      <c r="G139" t="n">
        <v>14.6</v>
      </c>
      <c r="H139" t="n">
        <v>69</v>
      </c>
      <c r="I139" t="n">
        <v>3</v>
      </c>
      <c r="K139" t="n">
        <v>77.8</v>
      </c>
      <c r="L139" t="n">
        <v>32.1</v>
      </c>
      <c r="M139" t="n">
        <v>20.6</v>
      </c>
      <c r="N139" t="n">
        <v>26.6</v>
      </c>
      <c r="O139" t="n">
        <v>13.3</v>
      </c>
      <c r="P139" t="n">
        <v>159.1</v>
      </c>
      <c r="Q139" t="n">
        <v>114.8</v>
      </c>
      <c r="R139" t="n">
        <v>26</v>
      </c>
      <c r="S139">
        <f>IF(COUNTIF(Draft!$C$5:$C$196,$B139)&gt;0,1,0)</f>
        <v/>
      </c>
      <c r="T139">
        <f>IF($S139=0,"",IFERROR(INDEX(Draft!$B$5:$B$196,MATCH($B139,Draft!$C$5:$C$196,0)),""))</f>
        <v/>
      </c>
      <c r="U139" t="n">
        <v>2.72</v>
      </c>
      <c r="V139">
        <f>IF($S139=1,-9999,$U139-ROW()/100000)</f>
        <v/>
      </c>
      <c r="W139">
        <f>IF($S139=1,"",SUMPRODUCT(($D$2:$D$301=$D139)*($V$2:$V$301&gt;$V139))+1)</f>
        <v/>
      </c>
      <c r="X139">
        <f>IF($S139=1,"",$U139-IFERROR(INDEX(Scarcity!$D$5:$D$9,MATCH($D139,Scarcity!$A$5:$A$9,0)),0))</f>
        <v/>
      </c>
    </row>
    <row r="140">
      <c r="A140" t="n">
        <v>139</v>
      </c>
      <c r="B140" t="inlineStr">
        <is>
          <t>Jordan Kyrou</t>
        </is>
      </c>
      <c r="C140" t="inlineStr">
        <is>
          <t>WSH</t>
        </is>
      </c>
      <c r="D140" t="inlineStr">
        <is>
          <t>R</t>
        </is>
      </c>
      <c r="E140" t="inlineStr">
        <is>
          <t>L1</t>
        </is>
      </c>
      <c r="F140" t="inlineStr">
        <is>
          <t>PP1</t>
        </is>
      </c>
      <c r="G140" t="n">
        <v>17.9</v>
      </c>
      <c r="H140" t="n">
        <v>75</v>
      </c>
      <c r="I140" t="n">
        <v>1</v>
      </c>
      <c r="K140" t="n">
        <v>81.8</v>
      </c>
      <c r="L140" t="n">
        <v>32.1</v>
      </c>
      <c r="M140" t="n">
        <v>25.1</v>
      </c>
      <c r="N140" t="n">
        <v>30.9</v>
      </c>
      <c r="O140" t="n">
        <v>16.1</v>
      </c>
      <c r="P140" t="n">
        <v>188.5</v>
      </c>
      <c r="Q140" t="n">
        <v>24</v>
      </c>
      <c r="R140" t="n">
        <v>30.6</v>
      </c>
      <c r="S140">
        <f>IF(COUNTIF(Draft!$C$5:$C$196,$B140)&gt;0,1,0)</f>
        <v/>
      </c>
      <c r="T140">
        <f>IF($S140=0,"",IFERROR(INDEX(Draft!$B$5:$B$196,MATCH($B140,Draft!$C$5:$C$196,0)),""))</f>
        <v/>
      </c>
      <c r="U140" t="n">
        <v>2.64</v>
      </c>
      <c r="V140">
        <f>IF($S140=1,-9999,$U140-ROW()/100000)</f>
        <v/>
      </c>
      <c r="W140">
        <f>IF($S140=1,"",SUMPRODUCT(($D$2:$D$301=$D140)*($V$2:$V$301&gt;$V140))+1)</f>
        <v/>
      </c>
      <c r="X140">
        <f>IF($S140=1,"",$U140-IFERROR(INDEX(Scarcity!$D$5:$D$9,MATCH($D140,Scarcity!$A$5:$A$9,0)),0))</f>
        <v/>
      </c>
    </row>
    <row r="141">
      <c r="A141" t="n">
        <v>140</v>
      </c>
      <c r="B141" t="inlineStr">
        <is>
          <t>Gabriel Vilardi</t>
        </is>
      </c>
      <c r="C141" t="inlineStr">
        <is>
          <t>WPG</t>
        </is>
      </c>
      <c r="D141" t="inlineStr">
        <is>
          <t>C</t>
        </is>
      </c>
      <c r="E141" t="inlineStr">
        <is>
          <t>L2</t>
        </is>
      </c>
      <c r="F141" t="inlineStr">
        <is>
          <t>PP1</t>
        </is>
      </c>
      <c r="G141" t="n">
        <v>17</v>
      </c>
      <c r="H141" t="n">
        <v>70</v>
      </c>
      <c r="I141" t="n">
        <v>2</v>
      </c>
      <c r="K141" t="n">
        <v>88.2</v>
      </c>
      <c r="L141" t="n">
        <v>27.4</v>
      </c>
      <c r="M141" t="n">
        <v>26</v>
      </c>
      <c r="N141" t="n">
        <v>34.4</v>
      </c>
      <c r="O141" t="n">
        <v>22.4</v>
      </c>
      <c r="P141" t="n">
        <v>128.9</v>
      </c>
      <c r="Q141" t="n">
        <v>19.8</v>
      </c>
      <c r="R141" t="n">
        <v>34.8</v>
      </c>
      <c r="S141">
        <f>IF(COUNTIF(Draft!$C$5:$C$196,$B141)&gt;0,1,0)</f>
        <v/>
      </c>
      <c r="T141">
        <f>IF($S141=0,"",IFERROR(INDEX(Draft!$B$5:$B$196,MATCH($B141,Draft!$C$5:$C$196,0)),""))</f>
        <v/>
      </c>
      <c r="U141" t="n">
        <v>2.6</v>
      </c>
      <c r="V141">
        <f>IF($S141=1,-9999,$U141-ROW()/100000)</f>
        <v/>
      </c>
      <c r="W141">
        <f>IF($S141=1,"",SUMPRODUCT(($D$2:$D$301=$D141)*($V$2:$V$301&gt;$V141))+1)</f>
        <v/>
      </c>
      <c r="X141">
        <f>IF($S141=1,"",$U141-IFERROR(INDEX(Scarcity!$D$5:$D$9,MATCH($D141,Scarcity!$A$5:$A$9,0)),0))</f>
        <v/>
      </c>
    </row>
    <row r="142">
      <c r="A142" t="n">
        <v>141</v>
      </c>
      <c r="B142" t="inlineStr">
        <is>
          <t>Pavel Zacha</t>
        </is>
      </c>
      <c r="C142" t="inlineStr">
        <is>
          <t>BOS</t>
        </is>
      </c>
      <c r="D142" t="inlineStr">
        <is>
          <t>C</t>
        </is>
      </c>
      <c r="E142" t="inlineStr">
        <is>
          <t>L1</t>
        </is>
      </c>
      <c r="F142" t="inlineStr">
        <is>
          <t>PP1</t>
        </is>
      </c>
      <c r="G142" t="n">
        <v>17.6</v>
      </c>
      <c r="H142" t="n">
        <v>80</v>
      </c>
      <c r="I142" t="n">
        <v>1</v>
      </c>
      <c r="K142" t="n">
        <v>85.8</v>
      </c>
      <c r="L142" t="n">
        <v>28.6</v>
      </c>
      <c r="M142" t="n">
        <v>22.9</v>
      </c>
      <c r="N142" t="n">
        <v>35.9</v>
      </c>
      <c r="O142" t="n">
        <v>18</v>
      </c>
      <c r="P142" t="n">
        <v>127</v>
      </c>
      <c r="Q142" t="n">
        <v>67.7</v>
      </c>
      <c r="R142" t="n">
        <v>27</v>
      </c>
      <c r="S142">
        <f>IF(COUNTIF(Draft!$C$5:$C$196,$B142)&gt;0,1,0)</f>
        <v/>
      </c>
      <c r="T142">
        <f>IF($S142=0,"",IFERROR(INDEX(Draft!$B$5:$B$196,MATCH($B142,Draft!$C$5:$C$196,0)),""))</f>
        <v/>
      </c>
      <c r="U142" t="n">
        <v>2.59</v>
      </c>
      <c r="V142">
        <f>IF($S142=1,-9999,$U142-ROW()/100000)</f>
        <v/>
      </c>
      <c r="W142">
        <f>IF($S142=1,"",SUMPRODUCT(($D$2:$D$301=$D142)*($V$2:$V$301&gt;$V142))+1)</f>
        <v/>
      </c>
      <c r="X142">
        <f>IF($S142=1,"",$U142-IFERROR(INDEX(Scarcity!$D$5:$D$9,MATCH($D142,Scarcity!$A$5:$A$9,0)),0))</f>
        <v/>
      </c>
    </row>
    <row r="143">
      <c r="A143" t="n">
        <v>142</v>
      </c>
      <c r="B143" t="inlineStr">
        <is>
          <t>Quinton Byfield</t>
        </is>
      </c>
      <c r="C143" t="inlineStr">
        <is>
          <t>LAK</t>
        </is>
      </c>
      <c r="D143" t="inlineStr">
        <is>
          <t>R</t>
        </is>
      </c>
      <c r="E143" t="inlineStr">
        <is>
          <t>L2</t>
        </is>
      </c>
      <c r="F143" t="inlineStr">
        <is>
          <t>PP2</t>
        </is>
      </c>
      <c r="G143" t="n">
        <v>17.8</v>
      </c>
      <c r="H143" t="n">
        <v>77</v>
      </c>
      <c r="I143" t="n">
        <v>2</v>
      </c>
      <c r="J143" t="n">
        <v>2</v>
      </c>
      <c r="K143" t="n">
        <v>77</v>
      </c>
      <c r="L143" t="n">
        <v>23.8</v>
      </c>
      <c r="M143" t="n">
        <v>23.9</v>
      </c>
      <c r="N143" t="n">
        <v>28.8</v>
      </c>
      <c r="O143" t="n">
        <v>11.3</v>
      </c>
      <c r="P143" t="n">
        <v>168.9</v>
      </c>
      <c r="Q143" t="n">
        <v>68.2</v>
      </c>
      <c r="R143" t="n">
        <v>37.7</v>
      </c>
      <c r="S143">
        <f>IF(COUNTIF(Draft!$C$5:$C$196,$B143)&gt;0,1,0)</f>
        <v/>
      </c>
      <c r="T143">
        <f>IF($S143=0,"",IFERROR(INDEX(Draft!$B$5:$B$196,MATCH($B143,Draft!$C$5:$C$196,0)),""))</f>
        <v/>
      </c>
      <c r="U143" t="n">
        <v>2.58</v>
      </c>
      <c r="V143">
        <f>IF($S143=1,-9999,$U143-ROW()/100000)</f>
        <v/>
      </c>
      <c r="W143">
        <f>IF($S143=1,"",SUMPRODUCT(($D$2:$D$301=$D143)*($V$2:$V$301&gt;$V143))+1)</f>
        <v/>
      </c>
      <c r="X143">
        <f>IF($S143=1,"",$U143-IFERROR(INDEX(Scarcity!$D$5:$D$9,MATCH($D143,Scarcity!$A$5:$A$9,0)),0))</f>
        <v/>
      </c>
    </row>
    <row r="144">
      <c r="A144" t="n">
        <v>143</v>
      </c>
      <c r="B144" t="inlineStr">
        <is>
          <t>Mats Zuccarello</t>
        </is>
      </c>
      <c r="C144" t="inlineStr">
        <is>
          <t>LAK</t>
        </is>
      </c>
      <c r="D144" t="inlineStr">
        <is>
          <t>R</t>
        </is>
      </c>
      <c r="E144" t="inlineStr">
        <is>
          <t>L1</t>
        </is>
      </c>
      <c r="F144" t="inlineStr">
        <is>
          <t>PP1</t>
        </is>
      </c>
      <c r="G144" t="n">
        <v>18.6</v>
      </c>
      <c r="H144" t="n">
        <v>62</v>
      </c>
      <c r="I144" t="n">
        <v>1</v>
      </c>
      <c r="K144" t="n">
        <v>88.5</v>
      </c>
      <c r="L144" t="n">
        <v>23.8</v>
      </c>
      <c r="M144" t="n">
        <v>17.7</v>
      </c>
      <c r="N144" t="n">
        <v>43</v>
      </c>
      <c r="O144" t="n">
        <v>23.1</v>
      </c>
      <c r="P144" t="n">
        <v>137.8</v>
      </c>
      <c r="Q144" t="n">
        <v>21.4</v>
      </c>
      <c r="R144" t="n">
        <v>32.8</v>
      </c>
      <c r="S144">
        <f>IF(COUNTIF(Draft!$C$5:$C$196,$B144)&gt;0,1,0)</f>
        <v/>
      </c>
      <c r="T144">
        <f>IF($S144=0,"",IFERROR(INDEX(Draft!$B$5:$B$196,MATCH($B144,Draft!$C$5:$C$196,0)),""))</f>
        <v/>
      </c>
      <c r="U144" t="n">
        <v>2.52</v>
      </c>
      <c r="V144">
        <f>IF($S144=1,-9999,$U144-ROW()/100000)</f>
        <v/>
      </c>
      <c r="W144">
        <f>IF($S144=1,"",SUMPRODUCT(($D$2:$D$301=$D144)*($V$2:$V$301&gt;$V144))+1)</f>
        <v/>
      </c>
      <c r="X144">
        <f>IF($S144=1,"",$U144-IFERROR(INDEX(Scarcity!$D$5:$D$9,MATCH($D144,Scarcity!$A$5:$A$9,0)),0))</f>
        <v/>
      </c>
    </row>
    <row r="145">
      <c r="A145" t="n">
        <v>144</v>
      </c>
      <c r="B145" t="inlineStr">
        <is>
          <t>Matty Beniers</t>
        </is>
      </c>
      <c r="C145" t="inlineStr">
        <is>
          <t>SEA</t>
        </is>
      </c>
      <c r="D145" t="inlineStr">
        <is>
          <t>C</t>
        </is>
      </c>
      <c r="E145" t="inlineStr">
        <is>
          <t>L1</t>
        </is>
      </c>
      <c r="F145" t="inlineStr">
        <is>
          <t>PP1</t>
        </is>
      </c>
      <c r="G145" t="n">
        <v>19.1</v>
      </c>
      <c r="H145" t="n">
        <v>81</v>
      </c>
      <c r="I145" t="n">
        <v>1</v>
      </c>
      <c r="J145" t="n">
        <v>3</v>
      </c>
      <c r="K145" t="n">
        <v>76.5</v>
      </c>
      <c r="L145" t="n">
        <v>27.4</v>
      </c>
      <c r="M145" t="n">
        <v>22.2</v>
      </c>
      <c r="N145" t="n">
        <v>30.2</v>
      </c>
      <c r="O145" t="n">
        <v>12.4</v>
      </c>
      <c r="P145" t="n">
        <v>150.4</v>
      </c>
      <c r="Q145" t="n">
        <v>38</v>
      </c>
      <c r="R145" t="n">
        <v>66.09999999999999</v>
      </c>
      <c r="S145">
        <f>IF(COUNTIF(Draft!$C$5:$C$196,$B145)&gt;0,1,0)</f>
        <v/>
      </c>
      <c r="T145">
        <f>IF($S145=0,"",IFERROR(INDEX(Draft!$B$5:$B$196,MATCH($B145,Draft!$C$5:$C$196,0)),""))</f>
        <v/>
      </c>
      <c r="U145" t="n">
        <v>2.5</v>
      </c>
      <c r="V145">
        <f>IF($S145=1,-9999,$U145-ROW()/100000)</f>
        <v/>
      </c>
      <c r="W145">
        <f>IF($S145=1,"",SUMPRODUCT(($D$2:$D$301=$D145)*($V$2:$V$301&gt;$V145))+1)</f>
        <v/>
      </c>
      <c r="X145">
        <f>IF($S145=1,"",$U145-IFERROR(INDEX(Scarcity!$D$5:$D$9,MATCH($D145,Scarcity!$A$5:$A$9,0)),0))</f>
        <v/>
      </c>
    </row>
    <row r="146">
      <c r="A146" t="n">
        <v>145</v>
      </c>
      <c r="B146" t="inlineStr">
        <is>
          <t>Victor Hedman</t>
        </is>
      </c>
      <c r="C146" t="inlineStr">
        <is>
          <t>TBL</t>
        </is>
      </c>
      <c r="D146" t="inlineStr">
        <is>
          <t>D</t>
        </is>
      </c>
      <c r="E146" t="inlineStr">
        <is>
          <t>D2</t>
        </is>
      </c>
      <c r="F146" t="inlineStr">
        <is>
          <t>PP1</t>
        </is>
      </c>
      <c r="G146" t="n">
        <v>18.6</v>
      </c>
      <c r="H146" t="n">
        <v>67</v>
      </c>
      <c r="I146" t="n">
        <v>2</v>
      </c>
      <c r="J146" t="n">
        <v>3</v>
      </c>
      <c r="K146" t="n">
        <v>76.90000000000001</v>
      </c>
      <c r="L146" t="n">
        <v>19</v>
      </c>
      <c r="M146" t="n">
        <v>8.300000000000001</v>
      </c>
      <c r="N146" t="n">
        <v>38.3</v>
      </c>
      <c r="O146" t="n">
        <v>17</v>
      </c>
      <c r="P146" t="n">
        <v>120.1</v>
      </c>
      <c r="Q146" t="n">
        <v>40.5</v>
      </c>
      <c r="R146" t="n">
        <v>97.2</v>
      </c>
      <c r="S146">
        <f>IF(COUNTIF(Draft!$C$5:$C$196,$B146)&gt;0,1,0)</f>
        <v/>
      </c>
      <c r="T146">
        <f>IF($S146=0,"",IFERROR(INDEX(Draft!$B$5:$B$196,MATCH($B146,Draft!$C$5:$C$196,0)),""))</f>
        <v/>
      </c>
      <c r="U146" t="n">
        <v>2.47</v>
      </c>
      <c r="V146">
        <f>IF($S146=1,-9999,$U146-ROW()/100000)</f>
        <v/>
      </c>
      <c r="W146">
        <f>IF($S146=1,"",SUMPRODUCT(($D$2:$D$301=$D146)*($V$2:$V$301&gt;$V146))+1)</f>
        <v/>
      </c>
      <c r="X146">
        <f>IF($S146=1,"",$U146-IFERROR(INDEX(Scarcity!$D$5:$D$9,MATCH($D146,Scarcity!$A$5:$A$9,0)),0))</f>
        <v/>
      </c>
    </row>
    <row r="147">
      <c r="A147" t="n">
        <v>146</v>
      </c>
      <c r="B147" t="inlineStr">
        <is>
          <t>Alexander Nikishin</t>
        </is>
      </c>
      <c r="C147" t="inlineStr">
        <is>
          <t>CAR</t>
        </is>
      </c>
      <c r="D147" t="inlineStr">
        <is>
          <t>D</t>
        </is>
      </c>
      <c r="E147" t="inlineStr">
        <is>
          <t>D3</t>
        </is>
      </c>
      <c r="F147" t="inlineStr">
        <is>
          <t>PP2</t>
        </is>
      </c>
      <c r="G147" t="n">
        <v>18</v>
      </c>
      <c r="H147" t="n">
        <v>81</v>
      </c>
      <c r="I147" t="n">
        <v>3</v>
      </c>
      <c r="J147" t="n">
        <v>3</v>
      </c>
      <c r="K147" t="n">
        <v>52.9</v>
      </c>
      <c r="L147" t="n">
        <v>26.2</v>
      </c>
      <c r="M147" t="n">
        <v>9.300000000000001</v>
      </c>
      <c r="N147" t="n">
        <v>22.8</v>
      </c>
      <c r="O147" t="n">
        <v>8.199999999999999</v>
      </c>
      <c r="P147" t="n">
        <v>123.4</v>
      </c>
      <c r="Q147" t="n">
        <v>130.2</v>
      </c>
      <c r="R147" t="n">
        <v>97.7</v>
      </c>
      <c r="S147">
        <f>IF(COUNTIF(Draft!$C$5:$C$196,$B147)&gt;0,1,0)</f>
        <v/>
      </c>
      <c r="T147">
        <f>IF($S147=0,"",IFERROR(INDEX(Draft!$B$5:$B$196,MATCH($B147,Draft!$C$5:$C$196,0)),""))</f>
        <v/>
      </c>
      <c r="U147" t="n">
        <v>2.44</v>
      </c>
      <c r="V147">
        <f>IF($S147=1,-9999,$U147-ROW()/100000)</f>
        <v/>
      </c>
      <c r="W147">
        <f>IF($S147=1,"",SUMPRODUCT(($D$2:$D$301=$D147)*($V$2:$V$301&gt;$V147))+1)</f>
        <v/>
      </c>
      <c r="X147">
        <f>IF($S147=1,"",$U147-IFERROR(INDEX(Scarcity!$D$5:$D$9,MATCH($D147,Scarcity!$A$5:$A$9,0)),0))</f>
        <v/>
      </c>
    </row>
    <row r="148">
      <c r="A148" t="n">
        <v>147</v>
      </c>
      <c r="B148" t="inlineStr">
        <is>
          <t>Tyler Bertuzzi</t>
        </is>
      </c>
      <c r="C148" t="inlineStr">
        <is>
          <t>CHI</t>
        </is>
      </c>
      <c r="D148" t="inlineStr">
        <is>
          <t>L</t>
        </is>
      </c>
      <c r="E148" t="inlineStr">
        <is>
          <t>L2</t>
        </is>
      </c>
      <c r="F148" t="inlineStr">
        <is>
          <t>PP1</t>
        </is>
      </c>
      <c r="G148" t="n">
        <v>16.9</v>
      </c>
      <c r="H148" t="n">
        <v>78</v>
      </c>
      <c r="I148" t="n">
        <v>2</v>
      </c>
      <c r="K148" t="n">
        <v>73.7</v>
      </c>
      <c r="L148" t="n">
        <v>29.8</v>
      </c>
      <c r="M148" t="n">
        <v>26.1</v>
      </c>
      <c r="N148" t="n">
        <v>24.5</v>
      </c>
      <c r="O148" t="n">
        <v>18.9</v>
      </c>
      <c r="P148" t="n">
        <v>142.3</v>
      </c>
      <c r="Q148" t="n">
        <v>58.6</v>
      </c>
      <c r="R148" t="n">
        <v>26.4</v>
      </c>
      <c r="S148">
        <f>IF(COUNTIF(Draft!$C$5:$C$196,$B148)&gt;0,1,0)</f>
        <v/>
      </c>
      <c r="T148">
        <f>IF($S148=0,"",IFERROR(INDEX(Draft!$B$5:$B$196,MATCH($B148,Draft!$C$5:$C$196,0)),""))</f>
        <v/>
      </c>
      <c r="U148" t="n">
        <v>2.36</v>
      </c>
      <c r="V148">
        <f>IF($S148=1,-9999,$U148-ROW()/100000)</f>
        <v/>
      </c>
      <c r="W148">
        <f>IF($S148=1,"",SUMPRODUCT(($D$2:$D$301=$D148)*($V$2:$V$301&gt;$V148))+1)</f>
        <v/>
      </c>
      <c r="X148">
        <f>IF($S148=1,"",$U148-IFERROR(INDEX(Scarcity!$D$5:$D$9,MATCH($D148,Scarcity!$A$5:$A$9,0)),0))</f>
        <v/>
      </c>
    </row>
    <row r="149">
      <c r="A149" t="n">
        <v>148</v>
      </c>
      <c r="B149" t="inlineStr">
        <is>
          <t>Lawson Crouse</t>
        </is>
      </c>
      <c r="C149" t="inlineStr">
        <is>
          <t>UTA</t>
        </is>
      </c>
      <c r="D149" t="inlineStr">
        <is>
          <t>L</t>
        </is>
      </c>
      <c r="E149" t="inlineStr">
        <is>
          <t>L2</t>
        </is>
      </c>
      <c r="F149" t="inlineStr"/>
      <c r="G149" t="n">
        <v>15.8</v>
      </c>
      <c r="H149" t="n">
        <v>79</v>
      </c>
      <c r="I149" t="n">
        <v>2</v>
      </c>
      <c r="J149" t="n">
        <v>1</v>
      </c>
      <c r="K149" t="n">
        <v>57.1</v>
      </c>
      <c r="L149" t="n">
        <v>34.5</v>
      </c>
      <c r="M149" t="n">
        <v>18.5</v>
      </c>
      <c r="N149" t="n">
        <v>16</v>
      </c>
      <c r="O149" t="n">
        <v>2.3</v>
      </c>
      <c r="P149" t="n">
        <v>129.9</v>
      </c>
      <c r="Q149" t="n">
        <v>197.2</v>
      </c>
      <c r="R149" t="n">
        <v>49.1</v>
      </c>
      <c r="S149">
        <f>IF(COUNTIF(Draft!$C$5:$C$196,$B149)&gt;0,1,0)</f>
        <v/>
      </c>
      <c r="T149">
        <f>IF($S149=0,"",IFERROR(INDEX(Draft!$B$5:$B$196,MATCH($B149,Draft!$C$5:$C$196,0)),""))</f>
        <v/>
      </c>
      <c r="U149" t="n">
        <v>2.36</v>
      </c>
      <c r="V149">
        <f>IF($S149=1,-9999,$U149-ROW()/100000)</f>
        <v/>
      </c>
      <c r="W149">
        <f>IF($S149=1,"",SUMPRODUCT(($D$2:$D$301=$D149)*($V$2:$V$301&gt;$V149))+1)</f>
        <v/>
      </c>
      <c r="X149">
        <f>IF($S149=1,"",$U149-IFERROR(INDEX(Scarcity!$D$5:$D$9,MATCH($D149,Scarcity!$A$5:$A$9,0)),0))</f>
        <v/>
      </c>
    </row>
    <row r="150">
      <c r="A150" t="n">
        <v>149</v>
      </c>
      <c r="B150" t="inlineStr">
        <is>
          <t>Mason McTavish</t>
        </is>
      </c>
      <c r="C150" t="inlineStr">
        <is>
          <t>STL</t>
        </is>
      </c>
      <c r="D150" t="inlineStr">
        <is>
          <t>C</t>
        </is>
      </c>
      <c r="E150" t="inlineStr">
        <is>
          <t>L2</t>
        </is>
      </c>
      <c r="F150" t="inlineStr">
        <is>
          <t>PP2</t>
        </is>
      </c>
      <c r="G150" t="n">
        <v>15.8</v>
      </c>
      <c r="H150" t="n">
        <v>74</v>
      </c>
      <c r="I150" t="n">
        <v>2</v>
      </c>
      <c r="K150" t="n">
        <v>70.7</v>
      </c>
      <c r="L150" t="n">
        <v>20.2</v>
      </c>
      <c r="M150" t="n">
        <v>20.6</v>
      </c>
      <c r="N150" t="n">
        <v>27.8</v>
      </c>
      <c r="O150" t="n">
        <v>12.8</v>
      </c>
      <c r="P150" t="n">
        <v>158.2</v>
      </c>
      <c r="Q150" t="n">
        <v>85.09999999999999</v>
      </c>
      <c r="R150" t="n">
        <v>32.9</v>
      </c>
      <c r="S150">
        <f>IF(COUNTIF(Draft!$C$5:$C$196,$B150)&gt;0,1,0)</f>
        <v/>
      </c>
      <c r="T150">
        <f>IF($S150=0,"",IFERROR(INDEX(Draft!$B$5:$B$196,MATCH($B150,Draft!$C$5:$C$196,0)),""))</f>
        <v/>
      </c>
      <c r="U150" t="n">
        <v>2.35</v>
      </c>
      <c r="V150">
        <f>IF($S150=1,-9999,$U150-ROW()/100000)</f>
        <v/>
      </c>
      <c r="W150">
        <f>IF($S150=1,"",SUMPRODUCT(($D$2:$D$301=$D150)*($V$2:$V$301&gt;$V150))+1)</f>
        <v/>
      </c>
      <c r="X150">
        <f>IF($S150=1,"",$U150-IFERROR(INDEX(Scarcity!$D$5:$D$9,MATCH($D150,Scarcity!$A$5:$A$9,0)),0))</f>
        <v/>
      </c>
    </row>
    <row r="151">
      <c r="A151" t="n">
        <v>150</v>
      </c>
      <c r="B151" t="inlineStr">
        <is>
          <t>Blake Coleman</t>
        </is>
      </c>
      <c r="C151" t="inlineStr">
        <is>
          <t>MIN</t>
        </is>
      </c>
      <c r="D151" t="inlineStr">
        <is>
          <t>L</t>
        </is>
      </c>
      <c r="E151" t="inlineStr">
        <is>
          <t>L3</t>
        </is>
      </c>
      <c r="F151" t="inlineStr"/>
      <c r="G151" t="n">
        <v>15.6</v>
      </c>
      <c r="H151" t="n">
        <v>75</v>
      </c>
      <c r="I151" t="n">
        <v>3</v>
      </c>
      <c r="J151" t="n">
        <v>1</v>
      </c>
      <c r="K151" t="n">
        <v>59.1</v>
      </c>
      <c r="L151" t="n">
        <v>23.8</v>
      </c>
      <c r="M151" t="n">
        <v>18.4</v>
      </c>
      <c r="N151" t="n">
        <v>17.4</v>
      </c>
      <c r="O151" t="n">
        <v>2.2</v>
      </c>
      <c r="P151" t="n">
        <v>168.4</v>
      </c>
      <c r="Q151" t="n">
        <v>153.1</v>
      </c>
      <c r="R151" t="n">
        <v>51.9</v>
      </c>
      <c r="S151">
        <f>IF(COUNTIF(Draft!$C$5:$C$196,$B151)&gt;0,1,0)</f>
        <v/>
      </c>
      <c r="T151">
        <f>IF($S151=0,"",IFERROR(INDEX(Draft!$B$5:$B$196,MATCH($B151,Draft!$C$5:$C$196,0)),""))</f>
        <v/>
      </c>
      <c r="U151" t="n">
        <v>2.34</v>
      </c>
      <c r="V151">
        <f>IF($S151=1,-9999,$U151-ROW()/100000)</f>
        <v/>
      </c>
      <c r="W151">
        <f>IF($S151=1,"",SUMPRODUCT(($D$2:$D$301=$D151)*($V$2:$V$301&gt;$V151))+1)</f>
        <v/>
      </c>
      <c r="X151">
        <f>IF($S151=1,"",$U151-IFERROR(INDEX(Scarcity!$D$5:$D$9,MATCH($D151,Scarcity!$A$5:$A$9,0)),0))</f>
        <v/>
      </c>
    </row>
    <row r="152">
      <c r="A152" t="n">
        <v>151</v>
      </c>
      <c r="B152" t="inlineStr">
        <is>
          <t>Mike Matheson</t>
        </is>
      </c>
      <c r="C152" t="inlineStr">
        <is>
          <t>MTL</t>
        </is>
      </c>
      <c r="D152" t="inlineStr">
        <is>
          <t>D</t>
        </is>
      </c>
      <c r="E152" t="inlineStr">
        <is>
          <t>D1</t>
        </is>
      </c>
      <c r="F152" t="inlineStr">
        <is>
          <t>PP2</t>
        </is>
      </c>
      <c r="G152" t="n">
        <v>23.3</v>
      </c>
      <c r="H152" t="n">
        <v>78</v>
      </c>
      <c r="I152" t="n">
        <v>1</v>
      </c>
      <c r="J152" t="n">
        <v>1</v>
      </c>
      <c r="K152" t="n">
        <v>59.2</v>
      </c>
      <c r="L152" t="n">
        <v>26.2</v>
      </c>
      <c r="M152" t="n">
        <v>6.5</v>
      </c>
      <c r="N152" t="n">
        <v>29.4</v>
      </c>
      <c r="O152" t="n">
        <v>5.5</v>
      </c>
      <c r="P152" t="n">
        <v>120.7</v>
      </c>
      <c r="Q152" t="n">
        <v>58.4</v>
      </c>
      <c r="R152" t="n">
        <v>150.5</v>
      </c>
      <c r="S152">
        <f>IF(COUNTIF(Draft!$C$5:$C$196,$B152)&gt;0,1,0)</f>
        <v/>
      </c>
      <c r="T152">
        <f>IF($S152=0,"",IFERROR(INDEX(Draft!$B$5:$B$196,MATCH($B152,Draft!$C$5:$C$196,0)),""))</f>
        <v/>
      </c>
      <c r="U152" t="n">
        <v>2.33</v>
      </c>
      <c r="V152">
        <f>IF($S152=1,-9999,$U152-ROW()/100000)</f>
        <v/>
      </c>
      <c r="W152">
        <f>IF($S152=1,"",SUMPRODUCT(($D$2:$D$301=$D152)*($V$2:$V$301&gt;$V152))+1)</f>
        <v/>
      </c>
      <c r="X152">
        <f>IF($S152=1,"",$U152-IFERROR(INDEX(Scarcity!$D$5:$D$9,MATCH($D152,Scarcity!$A$5:$A$9,0)),0))</f>
        <v/>
      </c>
    </row>
    <row r="153">
      <c r="A153" t="n">
        <v>152</v>
      </c>
      <c r="B153" t="inlineStr">
        <is>
          <t>Emil Heineman</t>
        </is>
      </c>
      <c r="C153" t="inlineStr">
        <is>
          <t>NYI</t>
        </is>
      </c>
      <c r="D153" t="inlineStr">
        <is>
          <t>L</t>
        </is>
      </c>
      <c r="E153" t="inlineStr">
        <is>
          <t>L2</t>
        </is>
      </c>
      <c r="F153" t="inlineStr"/>
      <c r="G153" t="n">
        <v>15.7</v>
      </c>
      <c r="H153" t="n">
        <v>74</v>
      </c>
      <c r="I153" t="n">
        <v>2</v>
      </c>
      <c r="J153" t="n">
        <v>3</v>
      </c>
      <c r="K153" t="n">
        <v>49.6</v>
      </c>
      <c r="L153" t="n">
        <v>22.6</v>
      </c>
      <c r="M153" t="n">
        <v>17</v>
      </c>
      <c r="N153" t="n">
        <v>9.1</v>
      </c>
      <c r="O153" t="n">
        <v>3.7</v>
      </c>
      <c r="P153" t="n">
        <v>141.2</v>
      </c>
      <c r="Q153" t="n">
        <v>216.6</v>
      </c>
      <c r="R153" t="n">
        <v>43.3</v>
      </c>
      <c r="S153">
        <f>IF(COUNTIF(Draft!$C$5:$C$196,$B153)&gt;0,1,0)</f>
        <v/>
      </c>
      <c r="T153">
        <f>IF($S153=0,"",IFERROR(INDEX(Draft!$B$5:$B$196,MATCH($B153,Draft!$C$5:$C$196,0)),""))</f>
        <v/>
      </c>
      <c r="U153" t="n">
        <v>2.33</v>
      </c>
      <c r="V153">
        <f>IF($S153=1,-9999,$U153-ROW()/100000)</f>
        <v/>
      </c>
      <c r="W153">
        <f>IF($S153=1,"",SUMPRODUCT(($D$2:$D$301=$D153)*($V$2:$V$301&gt;$V153))+1)</f>
        <v/>
      </c>
      <c r="X153">
        <f>IF($S153=1,"",$U153-IFERROR(INDEX(Scarcity!$D$5:$D$9,MATCH($D153,Scarcity!$A$5:$A$9,0)),0))</f>
        <v/>
      </c>
    </row>
    <row r="154">
      <c r="A154" t="n">
        <v>153</v>
      </c>
      <c r="B154" t="inlineStr">
        <is>
          <t>Ivan Barbashev</t>
        </is>
      </c>
      <c r="C154" t="inlineStr">
        <is>
          <t>VGK</t>
        </is>
      </c>
      <c r="D154" t="inlineStr">
        <is>
          <t>L</t>
        </is>
      </c>
      <c r="E154" t="inlineStr">
        <is>
          <t>L1</t>
        </is>
      </c>
      <c r="F154" t="inlineStr"/>
      <c r="G154" t="n">
        <v>16.3</v>
      </c>
      <c r="H154" t="n">
        <v>79</v>
      </c>
      <c r="I154" t="n">
        <v>1</v>
      </c>
      <c r="K154" t="n">
        <v>80.59999999999999</v>
      </c>
      <c r="L154" t="n">
        <v>28.6</v>
      </c>
      <c r="M154" t="n">
        <v>21</v>
      </c>
      <c r="N154" t="n">
        <v>34.2</v>
      </c>
      <c r="O154" t="n">
        <v>5.3</v>
      </c>
      <c r="P154" t="n">
        <v>118.4</v>
      </c>
      <c r="Q154" t="n">
        <v>132.1</v>
      </c>
      <c r="R154" t="n">
        <v>36.5</v>
      </c>
      <c r="S154">
        <f>IF(COUNTIF(Draft!$C$5:$C$196,$B154)&gt;0,1,0)</f>
        <v/>
      </c>
      <c r="T154">
        <f>IF($S154=0,"",IFERROR(INDEX(Draft!$B$5:$B$196,MATCH($B154,Draft!$C$5:$C$196,0)),""))</f>
        <v/>
      </c>
      <c r="U154" t="n">
        <v>2.31</v>
      </c>
      <c r="V154">
        <f>IF($S154=1,-9999,$U154-ROW()/100000)</f>
        <v/>
      </c>
      <c r="W154">
        <f>IF($S154=1,"",SUMPRODUCT(($D$2:$D$301=$D154)*($V$2:$V$301&gt;$V154))+1)</f>
        <v/>
      </c>
      <c r="X154">
        <f>IF($S154=1,"",$U154-IFERROR(INDEX(Scarcity!$D$5:$D$9,MATCH($D154,Scarcity!$A$5:$A$9,0)),0))</f>
        <v/>
      </c>
    </row>
    <row r="155">
      <c r="A155" t="n">
        <v>154</v>
      </c>
      <c r="B155" t="inlineStr">
        <is>
          <t>Brandt Clarke</t>
        </is>
      </c>
      <c r="C155" t="inlineStr">
        <is>
          <t>LAK</t>
        </is>
      </c>
      <c r="D155" t="inlineStr">
        <is>
          <t>D</t>
        </is>
      </c>
      <c r="E155" t="inlineStr">
        <is>
          <t>D2</t>
        </is>
      </c>
      <c r="F155" t="inlineStr">
        <is>
          <t>PP1</t>
        </is>
      </c>
      <c r="G155" t="n">
        <v>19</v>
      </c>
      <c r="H155" t="n">
        <v>71</v>
      </c>
      <c r="I155" t="n">
        <v>2</v>
      </c>
      <c r="J155" t="n">
        <v>3</v>
      </c>
      <c r="K155" t="n">
        <v>59</v>
      </c>
      <c r="L155" t="n">
        <v>23.8</v>
      </c>
      <c r="M155" t="n">
        <v>7.1</v>
      </c>
      <c r="N155" t="n">
        <v>28.7</v>
      </c>
      <c r="O155" t="n">
        <v>10.9</v>
      </c>
      <c r="P155" t="n">
        <v>137</v>
      </c>
      <c r="Q155" t="n">
        <v>25.8</v>
      </c>
      <c r="R155" t="n">
        <v>140.7</v>
      </c>
      <c r="S155">
        <f>IF(COUNTIF(Draft!$C$5:$C$196,$B155)&gt;0,1,0)</f>
        <v/>
      </c>
      <c r="T155">
        <f>IF($S155=0,"",IFERROR(INDEX(Draft!$B$5:$B$196,MATCH($B155,Draft!$C$5:$C$196,0)),""))</f>
        <v/>
      </c>
      <c r="U155" t="n">
        <v>2.31</v>
      </c>
      <c r="V155">
        <f>IF($S155=1,-9999,$U155-ROW()/100000)</f>
        <v/>
      </c>
      <c r="W155">
        <f>IF($S155=1,"",SUMPRODUCT(($D$2:$D$301=$D155)*($V$2:$V$301&gt;$V155))+1)</f>
        <v/>
      </c>
      <c r="X155">
        <f>IF($S155=1,"",$U155-IFERROR(INDEX(Scarcity!$D$5:$D$9,MATCH($D155,Scarcity!$A$5:$A$9,0)),0))</f>
        <v/>
      </c>
    </row>
    <row r="156">
      <c r="A156" t="n">
        <v>155</v>
      </c>
      <c r="B156" t="inlineStr">
        <is>
          <t>Vince Dunn</t>
        </is>
      </c>
      <c r="C156" t="inlineStr">
        <is>
          <t>SEA</t>
        </is>
      </c>
      <c r="D156" t="inlineStr">
        <is>
          <t>D</t>
        </is>
      </c>
      <c r="E156" t="inlineStr">
        <is>
          <t>D2</t>
        </is>
      </c>
      <c r="F156" t="inlineStr">
        <is>
          <t>PP1</t>
        </is>
      </c>
      <c r="G156" t="n">
        <v>20.3</v>
      </c>
      <c r="H156" t="n">
        <v>74</v>
      </c>
      <c r="I156" t="n">
        <v>2</v>
      </c>
      <c r="J156" t="n">
        <v>3</v>
      </c>
      <c r="K156" t="n">
        <v>69.7</v>
      </c>
      <c r="L156" t="n">
        <v>27.4</v>
      </c>
      <c r="M156" t="n">
        <v>10.5</v>
      </c>
      <c r="N156" t="n">
        <v>31.8</v>
      </c>
      <c r="O156" t="n">
        <v>17.8</v>
      </c>
      <c r="P156" t="n">
        <v>151.3</v>
      </c>
      <c r="Q156" t="n">
        <v>31.5</v>
      </c>
      <c r="R156" t="n">
        <v>81.2</v>
      </c>
      <c r="S156">
        <f>IF(COUNTIF(Draft!$C$5:$C$196,$B156)&gt;0,1,0)</f>
        <v/>
      </c>
      <c r="T156">
        <f>IF($S156=0,"",IFERROR(INDEX(Draft!$B$5:$B$196,MATCH($B156,Draft!$C$5:$C$196,0)),""))</f>
        <v/>
      </c>
      <c r="U156" t="n">
        <v>2.29</v>
      </c>
      <c r="V156">
        <f>IF($S156=1,-9999,$U156-ROW()/100000)</f>
        <v/>
      </c>
      <c r="W156">
        <f>IF($S156=1,"",SUMPRODUCT(($D$2:$D$301=$D156)*($V$2:$V$301&gt;$V156))+1)</f>
        <v/>
      </c>
      <c r="X156">
        <f>IF($S156=1,"",$U156-IFERROR(INDEX(Scarcity!$D$5:$D$9,MATCH($D156,Scarcity!$A$5:$A$9,0)),0))</f>
        <v/>
      </c>
    </row>
    <row r="157">
      <c r="A157" t="n">
        <v>156</v>
      </c>
      <c r="B157" t="inlineStr">
        <is>
          <t>Marco Rossi</t>
        </is>
      </c>
      <c r="C157" t="inlineStr">
        <is>
          <t>VAN</t>
        </is>
      </c>
      <c r="D157" t="inlineStr">
        <is>
          <t>C</t>
        </is>
      </c>
      <c r="E157" t="inlineStr">
        <is>
          <t>L2</t>
        </is>
      </c>
      <c r="F157" t="inlineStr">
        <is>
          <t>PP1</t>
        </is>
      </c>
      <c r="G157" t="n">
        <v>17.5</v>
      </c>
      <c r="H157" t="n">
        <v>75</v>
      </c>
      <c r="I157" t="n">
        <v>2</v>
      </c>
      <c r="J157" t="n">
        <v>3</v>
      </c>
      <c r="K157" t="n">
        <v>78.3</v>
      </c>
      <c r="L157" t="n">
        <v>31</v>
      </c>
      <c r="M157" t="n">
        <v>19.4</v>
      </c>
      <c r="N157" t="n">
        <v>34.3</v>
      </c>
      <c r="O157" t="n">
        <v>18.7</v>
      </c>
      <c r="P157" t="n">
        <v>115.7</v>
      </c>
      <c r="Q157" t="n">
        <v>61.9</v>
      </c>
      <c r="R157" t="n">
        <v>41</v>
      </c>
      <c r="S157">
        <f>IF(COUNTIF(Draft!$C$5:$C$196,$B157)&gt;0,1,0)</f>
        <v/>
      </c>
      <c r="T157">
        <f>IF($S157=0,"",IFERROR(INDEX(Draft!$B$5:$B$196,MATCH($B157,Draft!$C$5:$C$196,0)),""))</f>
        <v/>
      </c>
      <c r="U157" t="n">
        <v>2.28</v>
      </c>
      <c r="V157">
        <f>IF($S157=1,-9999,$U157-ROW()/100000)</f>
        <v/>
      </c>
      <c r="W157">
        <f>IF($S157=1,"",SUMPRODUCT(($D$2:$D$301=$D157)*($V$2:$V$301&gt;$V157))+1)</f>
        <v/>
      </c>
      <c r="X157">
        <f>IF($S157=1,"",$U157-IFERROR(INDEX(Scarcity!$D$5:$D$9,MATCH($D157,Scarcity!$A$5:$A$9,0)),0))</f>
        <v/>
      </c>
    </row>
    <row r="158">
      <c r="A158" t="n">
        <v>157</v>
      </c>
      <c r="B158" t="inlineStr">
        <is>
          <t>Yakov Trenin</t>
        </is>
      </c>
      <c r="C158" t="inlineStr">
        <is>
          <t>MIN</t>
        </is>
      </c>
      <c r="D158" t="inlineStr">
        <is>
          <t>C</t>
        </is>
      </c>
      <c r="E158" t="inlineStr">
        <is>
          <t>L3</t>
        </is>
      </c>
      <c r="F158" t="inlineStr"/>
      <c r="G158" t="n">
        <v>12.8</v>
      </c>
      <c r="H158" t="n">
        <v>78</v>
      </c>
      <c r="I158" t="n">
        <v>3</v>
      </c>
      <c r="K158" t="n">
        <v>36.3</v>
      </c>
      <c r="L158" t="n">
        <v>23.8</v>
      </c>
      <c r="M158" t="n">
        <v>7.5</v>
      </c>
      <c r="N158" t="n">
        <v>11.6</v>
      </c>
      <c r="O158" t="n">
        <v>0.1</v>
      </c>
      <c r="P158" t="n">
        <v>90.7</v>
      </c>
      <c r="Q158" t="n">
        <v>332</v>
      </c>
      <c r="R158" t="n">
        <v>35.7</v>
      </c>
      <c r="S158">
        <f>IF(COUNTIF(Draft!$C$5:$C$196,$B158)&gt;0,1,0)</f>
        <v/>
      </c>
      <c r="T158">
        <f>IF($S158=0,"",IFERROR(INDEX(Draft!$B$5:$B$196,MATCH($B158,Draft!$C$5:$C$196,0)),""))</f>
        <v/>
      </c>
      <c r="U158" t="n">
        <v>2.25</v>
      </c>
      <c r="V158">
        <f>IF($S158=1,-9999,$U158-ROW()/100000)</f>
        <v/>
      </c>
      <c r="W158">
        <f>IF($S158=1,"",SUMPRODUCT(($D$2:$D$301=$D158)*($V$2:$V$301&gt;$V158))+1)</f>
        <v/>
      </c>
      <c r="X158">
        <f>IF($S158=1,"",$U158-IFERROR(INDEX(Scarcity!$D$5:$D$9,MATCH($D158,Scarcity!$A$5:$A$9,0)),0))</f>
        <v/>
      </c>
    </row>
    <row r="159">
      <c r="A159" t="n">
        <v>158</v>
      </c>
      <c r="B159" t="inlineStr">
        <is>
          <t>Gavin McKenna</t>
        </is>
      </c>
      <c r="C159" t="inlineStr">
        <is>
          <t>TOR</t>
        </is>
      </c>
      <c r="D159" t="inlineStr">
        <is>
          <t>L</t>
        </is>
      </c>
      <c r="E159" t="inlineStr">
        <is>
          <t>L3</t>
        </is>
      </c>
      <c r="F159" t="inlineStr">
        <is>
          <t>PP2</t>
        </is>
      </c>
      <c r="G159" t="n">
        <v>13.5</v>
      </c>
      <c r="H159" t="n">
        <v>68</v>
      </c>
      <c r="I159" t="n">
        <v>3</v>
      </c>
      <c r="K159" t="n">
        <v>67.2</v>
      </c>
      <c r="L159" t="n">
        <v>26.2</v>
      </c>
      <c r="M159" t="n">
        <v>14</v>
      </c>
      <c r="N159" t="n">
        <v>32</v>
      </c>
      <c r="O159" t="n">
        <v>6</v>
      </c>
      <c r="P159" t="n">
        <v>179</v>
      </c>
      <c r="Q159" t="n">
        <v>113</v>
      </c>
      <c r="R159" t="n">
        <v>37</v>
      </c>
      <c r="S159">
        <f>IF(COUNTIF(Draft!$C$5:$C$196,$B159)&gt;0,1,0)</f>
        <v/>
      </c>
      <c r="T159">
        <f>IF($S159=0,"",IFERROR(INDEX(Draft!$B$5:$B$196,MATCH($B159,Draft!$C$5:$C$196,0)),""))</f>
        <v/>
      </c>
      <c r="U159" t="n">
        <v>2.24</v>
      </c>
      <c r="V159">
        <f>IF($S159=1,-9999,$U159-ROW()/100000)</f>
        <v/>
      </c>
      <c r="W159">
        <f>IF($S159=1,"",SUMPRODUCT(($D$2:$D$301=$D159)*($V$2:$V$301&gt;$V159))+1)</f>
        <v/>
      </c>
      <c r="X159">
        <f>IF($S159=1,"",$U159-IFERROR(INDEX(Scarcity!$D$5:$D$9,MATCH($D159,Scarcity!$A$5:$A$9,0)),0))</f>
        <v/>
      </c>
    </row>
    <row r="160">
      <c r="A160" t="n">
        <v>159</v>
      </c>
      <c r="B160" t="inlineStr">
        <is>
          <t>Neal Pionk</t>
        </is>
      </c>
      <c r="C160" t="inlineStr">
        <is>
          <t>WPG</t>
        </is>
      </c>
      <c r="D160" t="inlineStr">
        <is>
          <t>D</t>
        </is>
      </c>
      <c r="E160" t="inlineStr">
        <is>
          <t>D2</t>
        </is>
      </c>
      <c r="F160" t="inlineStr">
        <is>
          <t>PP2</t>
        </is>
      </c>
      <c r="G160" t="n">
        <v>20.7</v>
      </c>
      <c r="H160" t="n">
        <v>74</v>
      </c>
      <c r="I160" t="n">
        <v>2</v>
      </c>
      <c r="J160" t="n">
        <v>2</v>
      </c>
      <c r="K160" t="n">
        <v>45.4</v>
      </c>
      <c r="L160" t="n">
        <v>27.4</v>
      </c>
      <c r="M160" t="n">
        <v>5.9</v>
      </c>
      <c r="N160" t="n">
        <v>18</v>
      </c>
      <c r="O160" t="n">
        <v>5.6</v>
      </c>
      <c r="P160" t="n">
        <v>127.4</v>
      </c>
      <c r="Q160" t="n">
        <v>151.3</v>
      </c>
      <c r="R160" t="n">
        <v>107</v>
      </c>
      <c r="S160">
        <f>IF(COUNTIF(Draft!$C$5:$C$196,$B160)&gt;0,1,0)</f>
        <v/>
      </c>
      <c r="T160">
        <f>IF($S160=0,"",IFERROR(INDEX(Draft!$B$5:$B$196,MATCH($B160,Draft!$C$5:$C$196,0)),""))</f>
        <v/>
      </c>
      <c r="U160" t="n">
        <v>2.24</v>
      </c>
      <c r="V160">
        <f>IF($S160=1,-9999,$U160-ROW()/100000)</f>
        <v/>
      </c>
      <c r="W160">
        <f>IF($S160=1,"",SUMPRODUCT(($D$2:$D$301=$D160)*($V$2:$V$301&gt;$V160))+1)</f>
        <v/>
      </c>
      <c r="X160">
        <f>IF($S160=1,"",$U160-IFERROR(INDEX(Scarcity!$D$5:$D$9,MATCH($D160,Scarcity!$A$5:$A$9,0)),0))</f>
        <v/>
      </c>
    </row>
    <row r="161">
      <c r="A161" t="n">
        <v>160</v>
      </c>
      <c r="B161" t="inlineStr">
        <is>
          <t>Luke Hughes</t>
        </is>
      </c>
      <c r="C161" t="inlineStr">
        <is>
          <t>NJD</t>
        </is>
      </c>
      <c r="D161" t="inlineStr">
        <is>
          <t>D</t>
        </is>
      </c>
      <c r="E161" t="inlineStr">
        <is>
          <t>D1</t>
        </is>
      </c>
      <c r="F161" t="inlineStr">
        <is>
          <t>PP1</t>
        </is>
      </c>
      <c r="G161" t="n">
        <v>22</v>
      </c>
      <c r="H161" t="n">
        <v>77</v>
      </c>
      <c r="I161" t="n">
        <v>1</v>
      </c>
      <c r="J161" t="n">
        <v>3</v>
      </c>
      <c r="K161" t="n">
        <v>70.90000000000001</v>
      </c>
      <c r="L161" t="n">
        <v>21.4</v>
      </c>
      <c r="M161" t="n">
        <v>9.199999999999999</v>
      </c>
      <c r="N161" t="n">
        <v>39.4</v>
      </c>
      <c r="O161" t="n">
        <v>17.5</v>
      </c>
      <c r="P161" t="n">
        <v>166.1</v>
      </c>
      <c r="Q161" t="n">
        <v>22.5</v>
      </c>
      <c r="R161" t="n">
        <v>64.3</v>
      </c>
      <c r="S161">
        <f>IF(COUNTIF(Draft!$C$5:$C$196,$B161)&gt;0,1,0)</f>
        <v/>
      </c>
      <c r="T161">
        <f>IF($S161=0,"",IFERROR(INDEX(Draft!$B$5:$B$196,MATCH($B161,Draft!$C$5:$C$196,0)),""))</f>
        <v/>
      </c>
      <c r="U161" t="n">
        <v>2.23</v>
      </c>
      <c r="V161">
        <f>IF($S161=1,-9999,$U161-ROW()/100000)</f>
        <v/>
      </c>
      <c r="W161">
        <f>IF($S161=1,"",SUMPRODUCT(($D$2:$D$301=$D161)*($V$2:$V$301&gt;$V161))+1)</f>
        <v/>
      </c>
      <c r="X161">
        <f>IF($S161=1,"",$U161-IFERROR(INDEX(Scarcity!$D$5:$D$9,MATCH($D161,Scarcity!$A$5:$A$9,0)),0))</f>
        <v/>
      </c>
    </row>
    <row r="162">
      <c r="A162" t="n">
        <v>161</v>
      </c>
      <c r="B162" t="inlineStr">
        <is>
          <t>Thomas Chabot</t>
        </is>
      </c>
      <c r="C162" t="inlineStr">
        <is>
          <t>OTT</t>
        </is>
      </c>
      <c r="D162" t="inlineStr">
        <is>
          <t>D</t>
        </is>
      </c>
      <c r="E162" t="inlineStr">
        <is>
          <t>D2</t>
        </is>
      </c>
      <c r="F162" t="inlineStr">
        <is>
          <t>PP2</t>
        </is>
      </c>
      <c r="G162" t="n">
        <v>20.4</v>
      </c>
      <c r="H162" t="n">
        <v>70</v>
      </c>
      <c r="I162" t="n">
        <v>2</v>
      </c>
      <c r="J162" t="n">
        <v>2</v>
      </c>
      <c r="K162" t="n">
        <v>61.8</v>
      </c>
      <c r="L162" t="n">
        <v>26.2</v>
      </c>
      <c r="M162" t="n">
        <v>8.1</v>
      </c>
      <c r="N162" t="n">
        <v>29.4</v>
      </c>
      <c r="O162" t="n">
        <v>8.4</v>
      </c>
      <c r="P162" t="n">
        <v>128.9</v>
      </c>
      <c r="Q162" t="n">
        <v>48.6</v>
      </c>
      <c r="R162" t="n">
        <v>129.3</v>
      </c>
      <c r="S162">
        <f>IF(COUNTIF(Draft!$C$5:$C$196,$B162)&gt;0,1,0)</f>
        <v/>
      </c>
      <c r="T162">
        <f>IF($S162=0,"",IFERROR(INDEX(Draft!$B$5:$B$196,MATCH($B162,Draft!$C$5:$C$196,0)),""))</f>
        <v/>
      </c>
      <c r="U162" t="n">
        <v>2.16</v>
      </c>
      <c r="V162">
        <f>IF($S162=1,-9999,$U162-ROW()/100000)</f>
        <v/>
      </c>
      <c r="W162">
        <f>IF($S162=1,"",SUMPRODUCT(($D$2:$D$301=$D162)*($V$2:$V$301&gt;$V162))+1)</f>
        <v/>
      </c>
      <c r="X162">
        <f>IF($S162=1,"",$U162-IFERROR(INDEX(Scarcity!$D$5:$D$9,MATCH($D162,Scarcity!$A$5:$A$9,0)),0))</f>
        <v/>
      </c>
    </row>
    <row r="163">
      <c r="A163" t="n">
        <v>162</v>
      </c>
      <c r="B163" t="inlineStr">
        <is>
          <t>Fabian Zetterlund</t>
        </is>
      </c>
      <c r="C163" t="inlineStr">
        <is>
          <t>OTT</t>
        </is>
      </c>
      <c r="D163" t="inlineStr">
        <is>
          <t>L</t>
        </is>
      </c>
      <c r="E163" t="inlineStr">
        <is>
          <t>L4</t>
        </is>
      </c>
      <c r="F163" t="inlineStr">
        <is>
          <t>PP2</t>
        </is>
      </c>
      <c r="G163" t="n">
        <v>12.3</v>
      </c>
      <c r="H163" t="n">
        <v>81</v>
      </c>
      <c r="I163" t="n">
        <v>4</v>
      </c>
      <c r="K163" t="n">
        <v>57.5</v>
      </c>
      <c r="L163" t="n">
        <v>26.2</v>
      </c>
      <c r="M163" t="n">
        <v>17.1</v>
      </c>
      <c r="N163" t="n">
        <v>17.8</v>
      </c>
      <c r="O163" t="n">
        <v>8</v>
      </c>
      <c r="P163" t="n">
        <v>143.2</v>
      </c>
      <c r="Q163" t="n">
        <v>145.8</v>
      </c>
      <c r="R163" t="n">
        <v>45.5</v>
      </c>
      <c r="S163">
        <f>IF(COUNTIF(Draft!$C$5:$C$196,$B163)&gt;0,1,0)</f>
        <v/>
      </c>
      <c r="T163">
        <f>IF($S163=0,"",IFERROR(INDEX(Draft!$B$5:$B$196,MATCH($B163,Draft!$C$5:$C$196,0)),""))</f>
        <v/>
      </c>
      <c r="U163" t="n">
        <v>2.1</v>
      </c>
      <c r="V163">
        <f>IF($S163=1,-9999,$U163-ROW()/100000)</f>
        <v/>
      </c>
      <c r="W163">
        <f>IF($S163=1,"",SUMPRODUCT(($D$2:$D$301=$D163)*($V$2:$V$301&gt;$V163))+1)</f>
        <v/>
      </c>
      <c r="X163">
        <f>IF($S163=1,"",$U163-IFERROR(INDEX(Scarcity!$D$5:$D$9,MATCH($D163,Scarcity!$A$5:$A$9,0)),0))</f>
        <v/>
      </c>
    </row>
    <row r="164">
      <c r="A164" t="n">
        <v>163</v>
      </c>
      <c r="B164" t="inlineStr">
        <is>
          <t>Brayden Schenn</t>
        </is>
      </c>
      <c r="C164" t="inlineStr">
        <is>
          <t>NYI</t>
        </is>
      </c>
      <c r="D164" t="inlineStr">
        <is>
          <t>C</t>
        </is>
      </c>
      <c r="E164" t="inlineStr">
        <is>
          <t>L1</t>
        </is>
      </c>
      <c r="F164" t="inlineStr">
        <is>
          <t>PP1</t>
        </is>
      </c>
      <c r="G164" t="n">
        <v>17.2</v>
      </c>
      <c r="H164" t="n">
        <v>76</v>
      </c>
      <c r="I164" t="n">
        <v>1</v>
      </c>
      <c r="K164" t="n">
        <v>63.3</v>
      </c>
      <c r="L164" t="n">
        <v>22.6</v>
      </c>
      <c r="M164" t="n">
        <v>16.1</v>
      </c>
      <c r="N164" t="n">
        <v>22.2</v>
      </c>
      <c r="O164" t="n">
        <v>8.199999999999999</v>
      </c>
      <c r="P164" t="n">
        <v>111.4</v>
      </c>
      <c r="Q164" t="n">
        <v>165.7</v>
      </c>
      <c r="R164" t="n">
        <v>41.3</v>
      </c>
      <c r="S164">
        <f>IF(COUNTIF(Draft!$C$5:$C$196,$B164)&gt;0,1,0)</f>
        <v/>
      </c>
      <c r="T164">
        <f>IF($S164=0,"",IFERROR(INDEX(Draft!$B$5:$B$196,MATCH($B164,Draft!$C$5:$C$196,0)),""))</f>
        <v/>
      </c>
      <c r="U164" t="n">
        <v>1.99</v>
      </c>
      <c r="V164">
        <f>IF($S164=1,-9999,$U164-ROW()/100000)</f>
        <v/>
      </c>
      <c r="W164">
        <f>IF($S164=1,"",SUMPRODUCT(($D$2:$D$301=$D164)*($V$2:$V$301&gt;$V164))+1)</f>
        <v/>
      </c>
      <c r="X164">
        <f>IF($S164=1,"",$U164-IFERROR(INDEX(Scarcity!$D$5:$D$9,MATCH($D164,Scarcity!$A$5:$A$9,0)),0))</f>
        <v/>
      </c>
    </row>
    <row r="165">
      <c r="A165" t="n">
        <v>164</v>
      </c>
      <c r="B165" t="inlineStr">
        <is>
          <t>Trevor Zegras</t>
        </is>
      </c>
      <c r="C165" t="inlineStr">
        <is>
          <t>PHI</t>
        </is>
      </c>
      <c r="D165" t="inlineStr">
        <is>
          <t>C</t>
        </is>
      </c>
      <c r="E165" t="inlineStr">
        <is>
          <t>L1</t>
        </is>
      </c>
      <c r="F165" t="inlineStr">
        <is>
          <t>PP1</t>
        </is>
      </c>
      <c r="G165" t="n">
        <v>17.8</v>
      </c>
      <c r="H165" t="n">
        <v>69</v>
      </c>
      <c r="I165" t="n">
        <v>1</v>
      </c>
      <c r="K165" t="n">
        <v>80.5</v>
      </c>
      <c r="L165" t="n">
        <v>31</v>
      </c>
      <c r="M165" t="n">
        <v>20.5</v>
      </c>
      <c r="N165" t="n">
        <v>34.7</v>
      </c>
      <c r="O165" t="n">
        <v>17.4</v>
      </c>
      <c r="P165" t="n">
        <v>139.8</v>
      </c>
      <c r="Q165" t="n">
        <v>43.8</v>
      </c>
      <c r="R165" t="n">
        <v>26.5</v>
      </c>
      <c r="S165">
        <f>IF(COUNTIF(Draft!$C$5:$C$196,$B165)&gt;0,1,0)</f>
        <v/>
      </c>
      <c r="T165">
        <f>IF($S165=0,"",IFERROR(INDEX(Draft!$B$5:$B$196,MATCH($B165,Draft!$C$5:$C$196,0)),""))</f>
        <v/>
      </c>
      <c r="U165" t="n">
        <v>1.97</v>
      </c>
      <c r="V165">
        <f>IF($S165=1,-9999,$U165-ROW()/100000)</f>
        <v/>
      </c>
      <c r="W165">
        <f>IF($S165=1,"",SUMPRODUCT(($D$2:$D$301=$D165)*($V$2:$V$301&gt;$V165))+1)</f>
        <v/>
      </c>
      <c r="X165">
        <f>IF($S165=1,"",$U165-IFERROR(INDEX(Scarcity!$D$5:$D$9,MATCH($D165,Scarcity!$A$5:$A$9,0)),0))</f>
        <v/>
      </c>
    </row>
    <row r="166">
      <c r="A166" t="n">
        <v>165</v>
      </c>
      <c r="B166" t="inlineStr">
        <is>
          <t>Charlie Coyle</t>
        </is>
      </c>
      <c r="C166" t="inlineStr">
        <is>
          <t>CBJ</t>
        </is>
      </c>
      <c r="D166" t="inlineStr">
        <is>
          <t>C</t>
        </is>
      </c>
      <c r="E166" t="inlineStr">
        <is>
          <t>L2</t>
        </is>
      </c>
      <c r="F166" t="inlineStr">
        <is>
          <t>PP2</t>
        </is>
      </c>
      <c r="G166" t="n">
        <v>16.6</v>
      </c>
      <c r="H166" t="n">
        <v>78</v>
      </c>
      <c r="I166" t="n">
        <v>2</v>
      </c>
      <c r="J166" t="n">
        <v>1</v>
      </c>
      <c r="K166" t="n">
        <v>78</v>
      </c>
      <c r="L166" t="n">
        <v>20.2</v>
      </c>
      <c r="M166" t="n">
        <v>17.6</v>
      </c>
      <c r="N166" t="n">
        <v>29.8</v>
      </c>
      <c r="O166" t="n">
        <v>9.800000000000001</v>
      </c>
      <c r="P166" t="n">
        <v>118.3</v>
      </c>
      <c r="Q166" t="n">
        <v>101.8</v>
      </c>
      <c r="R166" t="n">
        <v>51.3</v>
      </c>
      <c r="S166">
        <f>IF(COUNTIF(Draft!$C$5:$C$196,$B166)&gt;0,1,0)</f>
        <v/>
      </c>
      <c r="T166">
        <f>IF($S166=0,"",IFERROR(INDEX(Draft!$B$5:$B$196,MATCH($B166,Draft!$C$5:$C$196,0)),""))</f>
        <v/>
      </c>
      <c r="U166" t="n">
        <v>1.96</v>
      </c>
      <c r="V166">
        <f>IF($S166=1,-9999,$U166-ROW()/100000)</f>
        <v/>
      </c>
      <c r="W166">
        <f>IF($S166=1,"",SUMPRODUCT(($D$2:$D$301=$D166)*($V$2:$V$301&gt;$V166))+1)</f>
        <v/>
      </c>
      <c r="X166">
        <f>IF($S166=1,"",$U166-IFERROR(INDEX(Scarcity!$D$5:$D$9,MATCH($D166,Scarcity!$A$5:$A$9,0)),0))</f>
        <v/>
      </c>
    </row>
    <row r="167">
      <c r="A167" t="n">
        <v>166</v>
      </c>
      <c r="B167" t="inlineStr">
        <is>
          <t>Anders Lee</t>
        </is>
      </c>
      <c r="C167" t="inlineStr">
        <is>
          <t>UTA</t>
        </is>
      </c>
      <c r="D167" t="inlineStr">
        <is>
          <t>L</t>
        </is>
      </c>
      <c r="E167" t="inlineStr">
        <is>
          <t>L3</t>
        </is>
      </c>
      <c r="F167" t="inlineStr">
        <is>
          <t>PP2</t>
        </is>
      </c>
      <c r="G167" t="n">
        <v>14.8</v>
      </c>
      <c r="H167" t="n">
        <v>75</v>
      </c>
      <c r="I167" t="n">
        <v>3</v>
      </c>
      <c r="K167" t="n">
        <v>68.8</v>
      </c>
      <c r="L167" t="n">
        <v>34.5</v>
      </c>
      <c r="M167" t="n">
        <v>21.4</v>
      </c>
      <c r="N167" t="n">
        <v>20.3</v>
      </c>
      <c r="O167" t="n">
        <v>7.3</v>
      </c>
      <c r="P167" t="n">
        <v>174.4</v>
      </c>
      <c r="Q167" t="n">
        <v>94.90000000000001</v>
      </c>
      <c r="R167" t="n">
        <v>35.4</v>
      </c>
      <c r="S167">
        <f>IF(COUNTIF(Draft!$C$5:$C$196,$B167)&gt;0,1,0)</f>
        <v/>
      </c>
      <c r="T167">
        <f>IF($S167=0,"",IFERROR(INDEX(Draft!$B$5:$B$196,MATCH($B167,Draft!$C$5:$C$196,0)),""))</f>
        <v/>
      </c>
      <c r="U167" t="n">
        <v>1.91</v>
      </c>
      <c r="V167">
        <f>IF($S167=1,-9999,$U167-ROW()/100000)</f>
        <v/>
      </c>
      <c r="W167">
        <f>IF($S167=1,"",SUMPRODUCT(($D$2:$D$301=$D167)*($V$2:$V$301&gt;$V167))+1)</f>
        <v/>
      </c>
      <c r="X167">
        <f>IF($S167=1,"",$U167-IFERROR(INDEX(Scarcity!$D$5:$D$9,MATCH($D167,Scarcity!$A$5:$A$9,0)),0))</f>
        <v/>
      </c>
    </row>
    <row r="168">
      <c r="A168" t="n">
        <v>167</v>
      </c>
      <c r="B168" t="inlineStr">
        <is>
          <t>Mikael Granlund</t>
        </is>
      </c>
      <c r="C168" t="inlineStr">
        <is>
          <t>ANA</t>
        </is>
      </c>
      <c r="D168" t="inlineStr">
        <is>
          <t>C</t>
        </is>
      </c>
      <c r="E168" t="inlineStr">
        <is>
          <t>L2</t>
        </is>
      </c>
      <c r="F168" t="inlineStr">
        <is>
          <t>PP1</t>
        </is>
      </c>
      <c r="G168" t="n">
        <v>18.8</v>
      </c>
      <c r="H168" t="n">
        <v>72</v>
      </c>
      <c r="I168" t="n">
        <v>2</v>
      </c>
      <c r="J168" t="n">
        <v>2</v>
      </c>
      <c r="K168" t="n">
        <v>72.90000000000001</v>
      </c>
      <c r="L168" t="n">
        <v>34.5</v>
      </c>
      <c r="M168" t="n">
        <v>18.6</v>
      </c>
      <c r="N168" t="n">
        <v>31.4</v>
      </c>
      <c r="O168" t="n">
        <v>15.5</v>
      </c>
      <c r="P168" t="n">
        <v>130.4</v>
      </c>
      <c r="Q168" t="n">
        <v>45.3</v>
      </c>
      <c r="R168" t="n">
        <v>50.3</v>
      </c>
      <c r="S168">
        <f>IF(COUNTIF(Draft!$C$5:$C$196,$B168)&gt;0,1,0)</f>
        <v/>
      </c>
      <c r="T168">
        <f>IF($S168=0,"",IFERROR(INDEX(Draft!$B$5:$B$196,MATCH($B168,Draft!$C$5:$C$196,0)),""))</f>
        <v/>
      </c>
      <c r="U168" t="n">
        <v>1.88</v>
      </c>
      <c r="V168">
        <f>IF($S168=1,-9999,$U168-ROW()/100000)</f>
        <v/>
      </c>
      <c r="W168">
        <f>IF($S168=1,"",SUMPRODUCT(($D$2:$D$301=$D168)*($V$2:$V$301&gt;$V168))+1)</f>
        <v/>
      </c>
      <c r="X168">
        <f>IF($S168=1,"",$U168-IFERROR(INDEX(Scarcity!$D$5:$D$9,MATCH($D168,Scarcity!$A$5:$A$9,0)),0))</f>
        <v/>
      </c>
    </row>
    <row r="169">
      <c r="A169" t="n">
        <v>168</v>
      </c>
      <c r="B169" t="inlineStr">
        <is>
          <t>Ben Kindel</t>
        </is>
      </c>
      <c r="C169" t="inlineStr">
        <is>
          <t>PIT</t>
        </is>
      </c>
      <c r="D169" t="inlineStr">
        <is>
          <t>C</t>
        </is>
      </c>
      <c r="E169" t="inlineStr">
        <is>
          <t>L2</t>
        </is>
      </c>
      <c r="F169" t="inlineStr">
        <is>
          <t>PP2</t>
        </is>
      </c>
      <c r="G169" t="n">
        <v>15.5</v>
      </c>
      <c r="H169" t="n">
        <v>76</v>
      </c>
      <c r="I169" t="n">
        <v>2</v>
      </c>
      <c r="J169" t="n">
        <v>2</v>
      </c>
      <c r="K169" t="n">
        <v>72.90000000000001</v>
      </c>
      <c r="L169" t="n">
        <v>32.1</v>
      </c>
      <c r="M169" t="n">
        <v>21.4</v>
      </c>
      <c r="N169" t="n">
        <v>22.8</v>
      </c>
      <c r="O169" t="n">
        <v>11.6</v>
      </c>
      <c r="P169" t="n">
        <v>176</v>
      </c>
      <c r="Q169" t="n">
        <v>33.4</v>
      </c>
      <c r="R169" t="n">
        <v>53.4</v>
      </c>
      <c r="S169">
        <f>IF(COUNTIF(Draft!$C$5:$C$196,$B169)&gt;0,1,0)</f>
        <v/>
      </c>
      <c r="T169">
        <f>IF($S169=0,"",IFERROR(INDEX(Draft!$B$5:$B$196,MATCH($B169,Draft!$C$5:$C$196,0)),""))</f>
        <v/>
      </c>
      <c r="U169" t="n">
        <v>1.88</v>
      </c>
      <c r="V169">
        <f>IF($S169=1,-9999,$U169-ROW()/100000)</f>
        <v/>
      </c>
      <c r="W169">
        <f>IF($S169=1,"",SUMPRODUCT(($D$2:$D$301=$D169)*($V$2:$V$301&gt;$V169))+1)</f>
        <v/>
      </c>
      <c r="X169">
        <f>IF($S169=1,"",$U169-IFERROR(INDEX(Scarcity!$D$5:$D$9,MATCH($D169,Scarcity!$A$5:$A$9,0)),0))</f>
        <v/>
      </c>
    </row>
    <row r="170">
      <c r="A170" t="n">
        <v>169</v>
      </c>
      <c r="B170" t="inlineStr">
        <is>
          <t>Vasily Podkolzin</t>
        </is>
      </c>
      <c r="C170" t="inlineStr">
        <is>
          <t>EDM</t>
        </is>
      </c>
      <c r="D170" t="inlineStr">
        <is>
          <t>R</t>
        </is>
      </c>
      <c r="E170" t="inlineStr">
        <is>
          <t>L2</t>
        </is>
      </c>
      <c r="F170" t="inlineStr">
        <is>
          <t>PP2</t>
        </is>
      </c>
      <c r="G170" t="n">
        <v>15</v>
      </c>
      <c r="H170" t="n">
        <v>75</v>
      </c>
      <c r="I170" t="n">
        <v>2</v>
      </c>
      <c r="K170" t="n">
        <v>54.9</v>
      </c>
      <c r="L170" t="n">
        <v>32.1</v>
      </c>
      <c r="M170" t="n">
        <v>13</v>
      </c>
      <c r="N170" t="n">
        <v>15.9</v>
      </c>
      <c r="O170" t="n">
        <v>2.3</v>
      </c>
      <c r="P170" t="n">
        <v>120.5</v>
      </c>
      <c r="Q170" t="n">
        <v>211.8</v>
      </c>
      <c r="R170" t="n">
        <v>46.2</v>
      </c>
      <c r="S170">
        <f>IF(COUNTIF(Draft!$C$5:$C$196,$B170)&gt;0,1,0)</f>
        <v/>
      </c>
      <c r="T170">
        <f>IF($S170=0,"",IFERROR(INDEX(Draft!$B$5:$B$196,MATCH($B170,Draft!$C$5:$C$196,0)),""))</f>
        <v/>
      </c>
      <c r="U170" t="n">
        <v>1.83</v>
      </c>
      <c r="V170">
        <f>IF($S170=1,-9999,$U170-ROW()/100000)</f>
        <v/>
      </c>
      <c r="W170">
        <f>IF($S170=1,"",SUMPRODUCT(($D$2:$D$301=$D170)*($V$2:$V$301&gt;$V170))+1)</f>
        <v/>
      </c>
      <c r="X170">
        <f>IF($S170=1,"",$U170-IFERROR(INDEX(Scarcity!$D$5:$D$9,MATCH($D170,Scarcity!$A$5:$A$9,0)),0))</f>
        <v/>
      </c>
    </row>
    <row r="171">
      <c r="A171" t="n">
        <v>170</v>
      </c>
      <c r="B171" t="inlineStr">
        <is>
          <t>Dougie Hamilton</t>
        </is>
      </c>
      <c r="C171" t="inlineStr">
        <is>
          <t>NJD</t>
        </is>
      </c>
      <c r="D171" t="inlineStr">
        <is>
          <t>D</t>
        </is>
      </c>
      <c r="E171" t="inlineStr">
        <is>
          <t>D2</t>
        </is>
      </c>
      <c r="F171" t="inlineStr">
        <is>
          <t>PP1</t>
        </is>
      </c>
      <c r="G171" t="n">
        <v>19.5</v>
      </c>
      <c r="H171" t="n">
        <v>65</v>
      </c>
      <c r="I171" t="n">
        <v>2</v>
      </c>
      <c r="J171" t="n">
        <v>2</v>
      </c>
      <c r="K171" t="n">
        <v>56.1</v>
      </c>
      <c r="L171" t="n">
        <v>21.4</v>
      </c>
      <c r="M171" t="n">
        <v>9.5</v>
      </c>
      <c r="N171" t="n">
        <v>24.6</v>
      </c>
      <c r="O171" t="n">
        <v>12.5</v>
      </c>
      <c r="P171" t="n">
        <v>164.6</v>
      </c>
      <c r="Q171" t="n">
        <v>70.59999999999999</v>
      </c>
      <c r="R171" t="n">
        <v>68.90000000000001</v>
      </c>
      <c r="S171">
        <f>IF(COUNTIF(Draft!$C$5:$C$196,$B171)&gt;0,1,0)</f>
        <v/>
      </c>
      <c r="T171">
        <f>IF($S171=0,"",IFERROR(INDEX(Draft!$B$5:$B$196,MATCH($B171,Draft!$C$5:$C$196,0)),""))</f>
        <v/>
      </c>
      <c r="U171" t="n">
        <v>1.82</v>
      </c>
      <c r="V171">
        <f>IF($S171=1,-9999,$U171-ROW()/100000)</f>
        <v/>
      </c>
      <c r="W171">
        <f>IF($S171=1,"",SUMPRODUCT(($D$2:$D$301=$D171)*($V$2:$V$301&gt;$V171))+1)</f>
        <v/>
      </c>
      <c r="X171">
        <f>IF($S171=1,"",$U171-IFERROR(INDEX(Scarcity!$D$5:$D$9,MATCH($D171,Scarcity!$A$5:$A$9,0)),0))</f>
        <v/>
      </c>
    </row>
    <row r="172">
      <c r="A172" t="n">
        <v>171</v>
      </c>
      <c r="B172" t="inlineStr">
        <is>
          <t>Noah Hanifin</t>
        </is>
      </c>
      <c r="C172" t="inlineStr">
        <is>
          <t>VGK</t>
        </is>
      </c>
      <c r="D172" t="inlineStr">
        <is>
          <t>D</t>
        </is>
      </c>
      <c r="E172" t="inlineStr">
        <is>
          <t>D1</t>
        </is>
      </c>
      <c r="F172" t="inlineStr">
        <is>
          <t>PP2</t>
        </is>
      </c>
      <c r="G172" t="n">
        <v>22.6</v>
      </c>
      <c r="H172" t="n">
        <v>79</v>
      </c>
      <c r="I172" t="n">
        <v>1</v>
      </c>
      <c r="J172" t="n">
        <v>3</v>
      </c>
      <c r="K172" t="n">
        <v>56.7</v>
      </c>
      <c r="L172" t="n">
        <v>28.6</v>
      </c>
      <c r="M172" t="n">
        <v>6.7</v>
      </c>
      <c r="N172" t="n">
        <v>27.8</v>
      </c>
      <c r="O172" t="n">
        <v>8.4</v>
      </c>
      <c r="P172" t="n">
        <v>141.6</v>
      </c>
      <c r="Q172" t="n">
        <v>43.8</v>
      </c>
      <c r="R172" t="n">
        <v>120.2</v>
      </c>
      <c r="S172">
        <f>IF(COUNTIF(Draft!$C$5:$C$196,$B172)&gt;0,1,0)</f>
        <v/>
      </c>
      <c r="T172">
        <f>IF($S172=0,"",IFERROR(INDEX(Draft!$B$5:$B$196,MATCH($B172,Draft!$C$5:$C$196,0)),""))</f>
        <v/>
      </c>
      <c r="U172" t="n">
        <v>1.81</v>
      </c>
      <c r="V172">
        <f>IF($S172=1,-9999,$U172-ROW()/100000)</f>
        <v/>
      </c>
      <c r="W172">
        <f>IF($S172=1,"",SUMPRODUCT(($D$2:$D$301=$D172)*($V$2:$V$301&gt;$V172))+1)</f>
        <v/>
      </c>
      <c r="X172">
        <f>IF($S172=1,"",$U172-IFERROR(INDEX(Scarcity!$D$5:$D$9,MATCH($D172,Scarcity!$A$5:$A$9,0)),0))</f>
        <v/>
      </c>
    </row>
    <row r="173">
      <c r="A173" t="n">
        <v>172</v>
      </c>
      <c r="B173" t="inlineStr">
        <is>
          <t>Colton Parayko</t>
        </is>
      </c>
      <c r="C173" t="inlineStr">
        <is>
          <t>STL</t>
        </is>
      </c>
      <c r="D173" t="inlineStr">
        <is>
          <t>D</t>
        </is>
      </c>
      <c r="E173" t="inlineStr">
        <is>
          <t>D1</t>
        </is>
      </c>
      <c r="F173" t="inlineStr"/>
      <c r="G173" t="n">
        <v>21.5</v>
      </c>
      <c r="H173" t="n">
        <v>76</v>
      </c>
      <c r="I173" t="n">
        <v>1</v>
      </c>
      <c r="J173" t="n">
        <v>2</v>
      </c>
      <c r="K173" t="n">
        <v>40.1</v>
      </c>
      <c r="L173" t="n">
        <v>20.2</v>
      </c>
      <c r="M173" t="n">
        <v>7</v>
      </c>
      <c r="N173" t="n">
        <v>14.1</v>
      </c>
      <c r="O173" t="n">
        <v>0.4</v>
      </c>
      <c r="P173" t="n">
        <v>108.6</v>
      </c>
      <c r="Q173" t="n">
        <v>96.09999999999999</v>
      </c>
      <c r="R173" t="n">
        <v>166.5</v>
      </c>
      <c r="S173">
        <f>IF(COUNTIF(Draft!$C$5:$C$196,$B173)&gt;0,1,0)</f>
        <v/>
      </c>
      <c r="T173">
        <f>IF($S173=0,"",IFERROR(INDEX(Draft!$B$5:$B$196,MATCH($B173,Draft!$C$5:$C$196,0)),""))</f>
        <v/>
      </c>
      <c r="U173" t="n">
        <v>1.81</v>
      </c>
      <c r="V173">
        <f>IF($S173=1,-9999,$U173-ROW()/100000)</f>
        <v/>
      </c>
      <c r="W173">
        <f>IF($S173=1,"",SUMPRODUCT(($D$2:$D$301=$D173)*($V$2:$V$301&gt;$V173))+1)</f>
        <v/>
      </c>
      <c r="X173">
        <f>IF($S173=1,"",$U173-IFERROR(INDEX(Scarcity!$D$5:$D$9,MATCH($D173,Scarcity!$A$5:$A$9,0)),0))</f>
        <v/>
      </c>
    </row>
    <row r="174">
      <c r="A174" t="n">
        <v>173</v>
      </c>
      <c r="B174" t="inlineStr">
        <is>
          <t>Matt Duchene</t>
        </is>
      </c>
      <c r="C174" t="inlineStr">
        <is>
          <t>DAL</t>
        </is>
      </c>
      <c r="D174" t="inlineStr">
        <is>
          <t>C</t>
        </is>
      </c>
      <c r="E174" t="inlineStr">
        <is>
          <t>L1</t>
        </is>
      </c>
      <c r="F174" t="inlineStr">
        <is>
          <t>PP2</t>
        </is>
      </c>
      <c r="G174" t="n">
        <v>16.8</v>
      </c>
      <c r="H174" t="n">
        <v>71</v>
      </c>
      <c r="I174" t="n">
        <v>1</v>
      </c>
      <c r="K174" t="n">
        <v>87.90000000000001</v>
      </c>
      <c r="L174" t="n">
        <v>31</v>
      </c>
      <c r="M174" t="n">
        <v>21.2</v>
      </c>
      <c r="N174" t="n">
        <v>38.9</v>
      </c>
      <c r="O174" t="n">
        <v>18.9</v>
      </c>
      <c r="P174" t="n">
        <v>115.3</v>
      </c>
      <c r="Q174" t="n">
        <v>30.9</v>
      </c>
      <c r="R174" t="n">
        <v>26.5</v>
      </c>
      <c r="S174">
        <f>IF(COUNTIF(Draft!$C$5:$C$196,$B174)&gt;0,1,0)</f>
        <v/>
      </c>
      <c r="T174">
        <f>IF($S174=0,"",IFERROR(INDEX(Draft!$B$5:$B$196,MATCH($B174,Draft!$C$5:$C$196,0)),""))</f>
        <v/>
      </c>
      <c r="U174" t="n">
        <v>1.78</v>
      </c>
      <c r="V174">
        <f>IF($S174=1,-9999,$U174-ROW()/100000)</f>
        <v/>
      </c>
      <c r="W174">
        <f>IF($S174=1,"",SUMPRODUCT(($D$2:$D$301=$D174)*($V$2:$V$301&gt;$V174))+1)</f>
        <v/>
      </c>
      <c r="X174">
        <f>IF($S174=1,"",$U174-IFERROR(INDEX(Scarcity!$D$5:$D$9,MATCH($D174,Scarcity!$A$5:$A$9,0)),0))</f>
        <v/>
      </c>
    </row>
    <row r="175">
      <c r="A175" t="n">
        <v>174</v>
      </c>
      <c r="B175" t="inlineStr">
        <is>
          <t>Sean Walker</t>
        </is>
      </c>
      <c r="C175" t="inlineStr">
        <is>
          <t>CAR</t>
        </is>
      </c>
      <c r="D175" t="inlineStr">
        <is>
          <t>D</t>
        </is>
      </c>
      <c r="E175" t="inlineStr">
        <is>
          <t>D1</t>
        </is>
      </c>
      <c r="F175" t="inlineStr"/>
      <c r="G175" t="n">
        <v>21.4</v>
      </c>
      <c r="H175" t="n">
        <v>80</v>
      </c>
      <c r="I175" t="n">
        <v>1</v>
      </c>
      <c r="J175" t="n">
        <v>2</v>
      </c>
      <c r="K175" t="n">
        <v>45.1</v>
      </c>
      <c r="L175" t="n">
        <v>26.2</v>
      </c>
      <c r="M175" t="n">
        <v>7</v>
      </c>
      <c r="N175" t="n">
        <v>16.7</v>
      </c>
      <c r="O175" t="n">
        <v>0.7</v>
      </c>
      <c r="P175" t="n">
        <v>152.2</v>
      </c>
      <c r="Q175" t="n">
        <v>121.3</v>
      </c>
      <c r="R175" t="n">
        <v>112.8</v>
      </c>
      <c r="S175">
        <f>IF(COUNTIF(Draft!$C$5:$C$196,$B175)&gt;0,1,0)</f>
        <v/>
      </c>
      <c r="T175">
        <f>IF($S175=0,"",IFERROR(INDEX(Draft!$B$5:$B$196,MATCH($B175,Draft!$C$5:$C$196,0)),""))</f>
        <v/>
      </c>
      <c r="U175" t="n">
        <v>1.77</v>
      </c>
      <c r="V175">
        <f>IF($S175=1,-9999,$U175-ROW()/100000)</f>
        <v/>
      </c>
      <c r="W175">
        <f>IF($S175=1,"",SUMPRODUCT(($D$2:$D$301=$D175)*($V$2:$V$301&gt;$V175))+1)</f>
        <v/>
      </c>
      <c r="X175">
        <f>IF($S175=1,"",$U175-IFERROR(INDEX(Scarcity!$D$5:$D$9,MATCH($D175,Scarcity!$A$5:$A$9,0)),0))</f>
        <v/>
      </c>
    </row>
    <row r="176">
      <c r="A176" t="n">
        <v>175</v>
      </c>
      <c r="B176" t="inlineStr">
        <is>
          <t>Emmitt Finnie</t>
        </is>
      </c>
      <c r="C176" t="inlineStr">
        <is>
          <t>DET</t>
        </is>
      </c>
      <c r="D176" t="inlineStr">
        <is>
          <t>C</t>
        </is>
      </c>
      <c r="E176" t="inlineStr">
        <is>
          <t>L1</t>
        </is>
      </c>
      <c r="F176" t="inlineStr">
        <is>
          <t>PP2</t>
        </is>
      </c>
      <c r="G176" t="n">
        <v>16.4</v>
      </c>
      <c r="H176" t="n">
        <v>79</v>
      </c>
      <c r="I176" t="n">
        <v>1</v>
      </c>
      <c r="K176" t="n">
        <v>62.8</v>
      </c>
      <c r="L176" t="n">
        <v>28.6</v>
      </c>
      <c r="M176" t="n">
        <v>17.7</v>
      </c>
      <c r="N176" t="n">
        <v>20.4</v>
      </c>
      <c r="O176" t="n">
        <v>9.199999999999999</v>
      </c>
      <c r="P176" t="n">
        <v>135.1</v>
      </c>
      <c r="Q176" t="n">
        <v>126.6</v>
      </c>
      <c r="R176" t="n">
        <v>39.9</v>
      </c>
      <c r="S176">
        <f>IF(COUNTIF(Draft!$C$5:$C$196,$B176)&gt;0,1,0)</f>
        <v/>
      </c>
      <c r="T176">
        <f>IF($S176=0,"",IFERROR(INDEX(Draft!$B$5:$B$196,MATCH($B176,Draft!$C$5:$C$196,0)),""))</f>
        <v/>
      </c>
      <c r="U176" t="n">
        <v>1.76</v>
      </c>
      <c r="V176">
        <f>IF($S176=1,-9999,$U176-ROW()/100000)</f>
        <v/>
      </c>
      <c r="W176">
        <f>IF($S176=1,"",SUMPRODUCT(($D$2:$D$301=$D176)*($V$2:$V$301&gt;$V176))+1)</f>
        <v/>
      </c>
      <c r="X176">
        <f>IF($S176=1,"",$U176-IFERROR(INDEX(Scarcity!$D$5:$D$9,MATCH($D176,Scarcity!$A$5:$A$9,0)),0))</f>
        <v/>
      </c>
    </row>
    <row r="177">
      <c r="A177" t="n">
        <v>176</v>
      </c>
      <c r="B177" t="inlineStr">
        <is>
          <t>Jack McBain</t>
        </is>
      </c>
      <c r="C177" t="inlineStr">
        <is>
          <t>UTA</t>
        </is>
      </c>
      <c r="D177" t="inlineStr">
        <is>
          <t>C</t>
        </is>
      </c>
      <c r="E177" t="inlineStr">
        <is>
          <t>L4</t>
        </is>
      </c>
      <c r="F177" t="inlineStr"/>
      <c r="G177" t="n">
        <v>13</v>
      </c>
      <c r="H177" t="n">
        <v>74</v>
      </c>
      <c r="I177" t="n">
        <v>4</v>
      </c>
      <c r="J177" t="n">
        <v>3</v>
      </c>
      <c r="K177" t="n">
        <v>48.8</v>
      </c>
      <c r="L177" t="n">
        <v>34.5</v>
      </c>
      <c r="M177" t="n">
        <v>11.1</v>
      </c>
      <c r="N177" t="n">
        <v>14.5</v>
      </c>
      <c r="O177" t="n">
        <v>0.7</v>
      </c>
      <c r="P177" t="n">
        <v>92.59999999999999</v>
      </c>
      <c r="Q177" t="n">
        <v>261.3</v>
      </c>
      <c r="R177" t="n">
        <v>43.1</v>
      </c>
      <c r="S177">
        <f>IF(COUNTIF(Draft!$C$5:$C$196,$B177)&gt;0,1,0)</f>
        <v/>
      </c>
      <c r="T177">
        <f>IF($S177=0,"",IFERROR(INDEX(Draft!$B$5:$B$196,MATCH($B177,Draft!$C$5:$C$196,0)),""))</f>
        <v/>
      </c>
      <c r="U177" t="n">
        <v>1.74</v>
      </c>
      <c r="V177">
        <f>IF($S177=1,-9999,$U177-ROW()/100000)</f>
        <v/>
      </c>
      <c r="W177">
        <f>IF($S177=1,"",SUMPRODUCT(($D$2:$D$301=$D177)*($V$2:$V$301&gt;$V177))+1)</f>
        <v/>
      </c>
      <c r="X177">
        <f>IF($S177=1,"",$U177-IFERROR(INDEX(Scarcity!$D$5:$D$9,MATCH($D177,Scarcity!$A$5:$A$9,0)),0))</f>
        <v/>
      </c>
    </row>
    <row r="178">
      <c r="A178" t="n">
        <v>177</v>
      </c>
      <c r="B178" t="inlineStr">
        <is>
          <t>Josh Doan</t>
        </is>
      </c>
      <c r="C178" t="inlineStr">
        <is>
          <t>BUF</t>
        </is>
      </c>
      <c r="D178" t="inlineStr">
        <is>
          <t>R</t>
        </is>
      </c>
      <c r="E178" t="inlineStr">
        <is>
          <t>L2</t>
        </is>
      </c>
      <c r="F178" t="inlineStr">
        <is>
          <t>PP1</t>
        </is>
      </c>
      <c r="G178" t="n">
        <v>15.9</v>
      </c>
      <c r="H178" t="n">
        <v>74</v>
      </c>
      <c r="I178" t="n">
        <v>2</v>
      </c>
      <c r="K178" t="n">
        <v>75.8</v>
      </c>
      <c r="L178" t="n">
        <v>26.2</v>
      </c>
      <c r="M178" t="n">
        <v>21</v>
      </c>
      <c r="N178" t="n">
        <v>24.9</v>
      </c>
      <c r="O178" t="n">
        <v>13.4</v>
      </c>
      <c r="P178" t="n">
        <v>151.1</v>
      </c>
      <c r="Q178" t="n">
        <v>70.09999999999999</v>
      </c>
      <c r="R178" t="n">
        <v>28.4</v>
      </c>
      <c r="S178">
        <f>IF(COUNTIF(Draft!$C$5:$C$196,$B178)&gt;0,1,0)</f>
        <v/>
      </c>
      <c r="T178">
        <f>IF($S178=0,"",IFERROR(INDEX(Draft!$B$5:$B$196,MATCH($B178,Draft!$C$5:$C$196,0)),""))</f>
        <v/>
      </c>
      <c r="U178" t="n">
        <v>1.73</v>
      </c>
      <c r="V178">
        <f>IF($S178=1,-9999,$U178-ROW()/100000)</f>
        <v/>
      </c>
      <c r="W178">
        <f>IF($S178=1,"",SUMPRODUCT(($D$2:$D$301=$D178)*($V$2:$V$301&gt;$V178))+1)</f>
        <v/>
      </c>
      <c r="X178">
        <f>IF($S178=1,"",$U178-IFERROR(INDEX(Scarcity!$D$5:$D$9,MATCH($D178,Scarcity!$A$5:$A$9,0)),0))</f>
        <v/>
      </c>
    </row>
    <row r="179">
      <c r="A179" t="n">
        <v>178</v>
      </c>
      <c r="B179" t="inlineStr">
        <is>
          <t>K'Andre Miller</t>
        </is>
      </c>
      <c r="C179" t="inlineStr">
        <is>
          <t>CAR</t>
        </is>
      </c>
      <c r="D179" t="inlineStr">
        <is>
          <t>D</t>
        </is>
      </c>
      <c r="E179" t="inlineStr">
        <is>
          <t>D1</t>
        </is>
      </c>
      <c r="F179" t="inlineStr">
        <is>
          <t>PP2</t>
        </is>
      </c>
      <c r="G179" t="n">
        <v>22.2</v>
      </c>
      <c r="H179" t="n">
        <v>78</v>
      </c>
      <c r="I179" t="n">
        <v>1</v>
      </c>
      <c r="J179" t="n">
        <v>2</v>
      </c>
      <c r="K179" t="n">
        <v>59.5</v>
      </c>
      <c r="L179" t="n">
        <v>26.2</v>
      </c>
      <c r="M179" t="n">
        <v>7.8</v>
      </c>
      <c r="N179" t="n">
        <v>28.3</v>
      </c>
      <c r="O179" t="n">
        <v>3</v>
      </c>
      <c r="P179" t="n">
        <v>121.3</v>
      </c>
      <c r="Q179" t="n">
        <v>115.1</v>
      </c>
      <c r="R179" t="n">
        <v>96.59999999999999</v>
      </c>
      <c r="S179">
        <f>IF(COUNTIF(Draft!$C$5:$C$196,$B179)&gt;0,1,0)</f>
        <v/>
      </c>
      <c r="T179">
        <f>IF($S179=0,"",IFERROR(INDEX(Draft!$B$5:$B$196,MATCH($B179,Draft!$C$5:$C$196,0)),""))</f>
        <v/>
      </c>
      <c r="U179" t="n">
        <v>1.73</v>
      </c>
      <c r="V179">
        <f>IF($S179=1,-9999,$U179-ROW()/100000)</f>
        <v/>
      </c>
      <c r="W179">
        <f>IF($S179=1,"",SUMPRODUCT(($D$2:$D$301=$D179)*($V$2:$V$301&gt;$V179))+1)</f>
        <v/>
      </c>
      <c r="X179">
        <f>IF($S179=1,"",$U179-IFERROR(INDEX(Scarcity!$D$5:$D$9,MATCH($D179,Scarcity!$A$5:$A$9,0)),0))</f>
        <v/>
      </c>
    </row>
    <row r="180">
      <c r="A180" t="n">
        <v>179</v>
      </c>
      <c r="B180" t="inlineStr">
        <is>
          <t>Bobby McMann</t>
        </is>
      </c>
      <c r="C180" t="inlineStr">
        <is>
          <t>SEA</t>
        </is>
      </c>
      <c r="D180" t="inlineStr">
        <is>
          <t>C</t>
        </is>
      </c>
      <c r="E180" t="inlineStr">
        <is>
          <t>L2</t>
        </is>
      </c>
      <c r="F180" t="inlineStr">
        <is>
          <t>PP2</t>
        </is>
      </c>
      <c r="G180" t="n">
        <v>15.8</v>
      </c>
      <c r="H180" t="n">
        <v>74</v>
      </c>
      <c r="I180" t="n">
        <v>2</v>
      </c>
      <c r="J180" t="n">
        <v>3</v>
      </c>
      <c r="K180" t="n">
        <v>58.1</v>
      </c>
      <c r="L180" t="n">
        <v>27.4</v>
      </c>
      <c r="M180" t="n">
        <v>20.2</v>
      </c>
      <c r="N180" t="n">
        <v>15</v>
      </c>
      <c r="O180" t="n">
        <v>5.4</v>
      </c>
      <c r="P180" t="n">
        <v>159.3</v>
      </c>
      <c r="Q180" t="n">
        <v>148.2</v>
      </c>
      <c r="R180" t="n">
        <v>25.6</v>
      </c>
      <c r="S180">
        <f>IF(COUNTIF(Draft!$C$5:$C$196,$B180)&gt;0,1,0)</f>
        <v/>
      </c>
      <c r="T180">
        <f>IF($S180=0,"",IFERROR(INDEX(Draft!$B$5:$B$196,MATCH($B180,Draft!$C$5:$C$196,0)),""))</f>
        <v/>
      </c>
      <c r="U180" t="n">
        <v>1.72</v>
      </c>
      <c r="V180">
        <f>IF($S180=1,-9999,$U180-ROW()/100000)</f>
        <v/>
      </c>
      <c r="W180">
        <f>IF($S180=1,"",SUMPRODUCT(($D$2:$D$301=$D180)*($V$2:$V$301&gt;$V180))+1)</f>
        <v/>
      </c>
      <c r="X180">
        <f>IF($S180=1,"",$U180-IFERROR(INDEX(Scarcity!$D$5:$D$9,MATCH($D180,Scarcity!$A$5:$A$9,0)),0))</f>
        <v/>
      </c>
    </row>
    <row r="181">
      <c r="A181" t="n">
        <v>180</v>
      </c>
      <c r="B181" t="inlineStr">
        <is>
          <t>Tyler Toffoli</t>
        </is>
      </c>
      <c r="C181" t="inlineStr">
        <is>
          <t>SJS</t>
        </is>
      </c>
      <c r="D181" t="inlineStr">
        <is>
          <t>C</t>
        </is>
      </c>
      <c r="E181" t="inlineStr">
        <is>
          <t>L3</t>
        </is>
      </c>
      <c r="F181" t="inlineStr">
        <is>
          <t>PP1</t>
        </is>
      </c>
      <c r="G181" t="n">
        <v>15</v>
      </c>
      <c r="H181" t="n">
        <v>74</v>
      </c>
      <c r="I181" t="n">
        <v>3</v>
      </c>
      <c r="K181" t="n">
        <v>77.3</v>
      </c>
      <c r="L181" t="n">
        <v>31</v>
      </c>
      <c r="M181" t="n">
        <v>21.4</v>
      </c>
      <c r="N181" t="n">
        <v>25.5</v>
      </c>
      <c r="O181" t="n">
        <v>14.3</v>
      </c>
      <c r="P181" t="n">
        <v>166.3</v>
      </c>
      <c r="Q181" t="n">
        <v>47.8</v>
      </c>
      <c r="R181" t="n">
        <v>26.7</v>
      </c>
      <c r="S181">
        <f>IF(COUNTIF(Draft!$C$5:$C$196,$B181)&gt;0,1,0)</f>
        <v/>
      </c>
      <c r="T181">
        <f>IF($S181=0,"",IFERROR(INDEX(Draft!$B$5:$B$196,MATCH($B181,Draft!$C$5:$C$196,0)),""))</f>
        <v/>
      </c>
      <c r="U181" t="n">
        <v>1.7</v>
      </c>
      <c r="V181">
        <f>IF($S181=1,-9999,$U181-ROW()/100000)</f>
        <v/>
      </c>
      <c r="W181">
        <f>IF($S181=1,"",SUMPRODUCT(($D$2:$D$301=$D181)*($V$2:$V$301&gt;$V181))+1)</f>
        <v/>
      </c>
      <c r="X181">
        <f>IF($S181=1,"",$U181-IFERROR(INDEX(Scarcity!$D$5:$D$9,MATCH($D181,Scarcity!$A$5:$A$9,0)),0))</f>
        <v/>
      </c>
    </row>
    <row r="182">
      <c r="A182" t="n">
        <v>181</v>
      </c>
      <c r="B182" t="inlineStr">
        <is>
          <t>Ryan Hartman</t>
        </is>
      </c>
      <c r="C182" t="inlineStr">
        <is>
          <t>MIN</t>
        </is>
      </c>
      <c r="D182" t="inlineStr">
        <is>
          <t>R</t>
        </is>
      </c>
      <c r="E182" t="inlineStr">
        <is>
          <t>L1</t>
        </is>
      </c>
      <c r="F182" t="inlineStr">
        <is>
          <t>PP2</t>
        </is>
      </c>
      <c r="G182" t="n">
        <v>17.1</v>
      </c>
      <c r="H182" t="n">
        <v>74</v>
      </c>
      <c r="I182" t="n">
        <v>1</v>
      </c>
      <c r="K182" t="n">
        <v>61.2</v>
      </c>
      <c r="L182" t="n">
        <v>23.8</v>
      </c>
      <c r="M182" t="n">
        <v>18.3</v>
      </c>
      <c r="N182" t="n">
        <v>18.8</v>
      </c>
      <c r="O182" t="n">
        <v>7</v>
      </c>
      <c r="P182" t="n">
        <v>155</v>
      </c>
      <c r="Q182" t="n">
        <v>66.59999999999999</v>
      </c>
      <c r="R182" t="n">
        <v>75.90000000000001</v>
      </c>
      <c r="S182">
        <f>IF(COUNTIF(Draft!$C$5:$C$196,$B182)&gt;0,1,0)</f>
        <v/>
      </c>
      <c r="T182">
        <f>IF($S182=0,"",IFERROR(INDEX(Draft!$B$5:$B$196,MATCH($B182,Draft!$C$5:$C$196,0)),""))</f>
        <v/>
      </c>
      <c r="U182" t="n">
        <v>1.7</v>
      </c>
      <c r="V182">
        <f>IF($S182=1,-9999,$U182-ROW()/100000)</f>
        <v/>
      </c>
      <c r="W182">
        <f>IF($S182=1,"",SUMPRODUCT(($D$2:$D$301=$D182)*($V$2:$V$301&gt;$V182))+1)</f>
        <v/>
      </c>
      <c r="X182">
        <f>IF($S182=1,"",$U182-IFERROR(INDEX(Scarcity!$D$5:$D$9,MATCH($D182,Scarcity!$A$5:$A$9,0)),0))</f>
        <v/>
      </c>
    </row>
    <row r="183">
      <c r="A183" t="n">
        <v>182</v>
      </c>
      <c r="B183" t="inlineStr">
        <is>
          <t>Justin Faulk</t>
        </is>
      </c>
      <c r="C183" t="inlineStr">
        <is>
          <t>DET</t>
        </is>
      </c>
      <c r="D183" t="inlineStr">
        <is>
          <t>D</t>
        </is>
      </c>
      <c r="E183" t="inlineStr">
        <is>
          <t>D2</t>
        </is>
      </c>
      <c r="F183" t="inlineStr">
        <is>
          <t>PP2</t>
        </is>
      </c>
      <c r="G183" t="n">
        <v>21.5</v>
      </c>
      <c r="H183" t="n">
        <v>73</v>
      </c>
      <c r="I183" t="n">
        <v>2</v>
      </c>
      <c r="J183" t="n">
        <v>2</v>
      </c>
      <c r="K183" t="n">
        <v>51.4</v>
      </c>
      <c r="L183" t="n">
        <v>28.6</v>
      </c>
      <c r="M183" t="n">
        <v>8.5</v>
      </c>
      <c r="N183" t="n">
        <v>22.7</v>
      </c>
      <c r="O183" t="n">
        <v>8.4</v>
      </c>
      <c r="P183" t="n">
        <v>123.5</v>
      </c>
      <c r="Q183" t="n">
        <v>70.09999999999999</v>
      </c>
      <c r="R183" t="n">
        <v>114.8</v>
      </c>
      <c r="S183">
        <f>IF(COUNTIF(Draft!$C$5:$C$196,$B183)&gt;0,1,0)</f>
        <v/>
      </c>
      <c r="T183">
        <f>IF($S183=0,"",IFERROR(INDEX(Draft!$B$5:$B$196,MATCH($B183,Draft!$C$5:$C$196,0)),""))</f>
        <v/>
      </c>
      <c r="U183" t="n">
        <v>1.7</v>
      </c>
      <c r="V183">
        <f>IF($S183=1,-9999,$U183-ROW()/100000)</f>
        <v/>
      </c>
      <c r="W183">
        <f>IF($S183=1,"",SUMPRODUCT(($D$2:$D$301=$D183)*($V$2:$V$301&gt;$V183))+1)</f>
        <v/>
      </c>
      <c r="X183">
        <f>IF($S183=1,"",$U183-IFERROR(INDEX(Scarcity!$D$5:$D$9,MATCH($D183,Scarcity!$A$5:$A$9,0)),0))</f>
        <v/>
      </c>
    </row>
    <row r="184">
      <c r="A184" t="n">
        <v>183</v>
      </c>
      <c r="B184" t="inlineStr">
        <is>
          <t>Morgan Rielly</t>
        </is>
      </c>
      <c r="C184" t="inlineStr">
        <is>
          <t>TOR</t>
        </is>
      </c>
      <c r="D184" t="inlineStr">
        <is>
          <t>D</t>
        </is>
      </c>
      <c r="E184" t="inlineStr">
        <is>
          <t>D3</t>
        </is>
      </c>
      <c r="F184" t="inlineStr">
        <is>
          <t>PP2</t>
        </is>
      </c>
      <c r="G184" t="n">
        <v>18.7</v>
      </c>
      <c r="H184" t="n">
        <v>78</v>
      </c>
      <c r="I184" t="n">
        <v>3</v>
      </c>
      <c r="J184" t="n">
        <v>2</v>
      </c>
      <c r="K184" t="n">
        <v>61.5</v>
      </c>
      <c r="L184" t="n">
        <v>26.2</v>
      </c>
      <c r="M184" t="n">
        <v>8.4</v>
      </c>
      <c r="N184" t="n">
        <v>28.8</v>
      </c>
      <c r="O184" t="n">
        <v>9.1</v>
      </c>
      <c r="P184" t="n">
        <v>130.1</v>
      </c>
      <c r="Q184" t="n">
        <v>37.5</v>
      </c>
      <c r="R184" t="n">
        <v>116.1</v>
      </c>
      <c r="S184">
        <f>IF(COUNTIF(Draft!$C$5:$C$196,$B184)&gt;0,1,0)</f>
        <v/>
      </c>
      <c r="T184">
        <f>IF($S184=0,"",IFERROR(INDEX(Draft!$B$5:$B$196,MATCH($B184,Draft!$C$5:$C$196,0)),""))</f>
        <v/>
      </c>
      <c r="U184" t="n">
        <v>1.67</v>
      </c>
      <c r="V184">
        <f>IF($S184=1,-9999,$U184-ROW()/100000)</f>
        <v/>
      </c>
      <c r="W184">
        <f>IF($S184=1,"",SUMPRODUCT(($D$2:$D$301=$D184)*($V$2:$V$301&gt;$V184))+1)</f>
        <v/>
      </c>
      <c r="X184">
        <f>IF($S184=1,"",$U184-IFERROR(INDEX(Scarcity!$D$5:$D$9,MATCH($D184,Scarcity!$A$5:$A$9,0)),0))</f>
        <v/>
      </c>
    </row>
    <row r="185">
      <c r="A185" t="n">
        <v>184</v>
      </c>
      <c r="B185" t="inlineStr">
        <is>
          <t>Roman Kantserov</t>
        </is>
      </c>
      <c r="C185" t="inlineStr">
        <is>
          <t>CHI</t>
        </is>
      </c>
      <c r="D185" t="inlineStr">
        <is>
          <t>R</t>
        </is>
      </c>
      <c r="E185" t="inlineStr">
        <is>
          <t>L3</t>
        </is>
      </c>
      <c r="F185" t="inlineStr">
        <is>
          <t>PP2</t>
        </is>
      </c>
      <c r="G185" t="n">
        <v>13.7</v>
      </c>
      <c r="H185" t="n">
        <v>56</v>
      </c>
      <c r="I185" t="n">
        <v>3</v>
      </c>
      <c r="K185" t="n">
        <v>66</v>
      </c>
      <c r="L185" t="n">
        <v>29.8</v>
      </c>
      <c r="M185" t="n">
        <v>22</v>
      </c>
      <c r="N185" t="n">
        <v>18</v>
      </c>
      <c r="O185" t="n">
        <v>5</v>
      </c>
      <c r="P185" t="n">
        <v>191</v>
      </c>
      <c r="Q185" t="n">
        <v>90</v>
      </c>
      <c r="R185" t="n">
        <v>31</v>
      </c>
      <c r="S185">
        <f>IF(COUNTIF(Draft!$C$5:$C$196,$B185)&gt;0,1,0)</f>
        <v/>
      </c>
      <c r="T185">
        <f>IF($S185=0,"",IFERROR(INDEX(Draft!$B$5:$B$196,MATCH($B185,Draft!$C$5:$C$196,0)),""))</f>
        <v/>
      </c>
      <c r="U185" t="n">
        <v>1.66</v>
      </c>
      <c r="V185">
        <f>IF($S185=1,-9999,$U185-ROW()/100000)</f>
        <v/>
      </c>
      <c r="W185">
        <f>IF($S185=1,"",SUMPRODUCT(($D$2:$D$301=$D185)*($V$2:$V$301&gt;$V185))+1)</f>
        <v/>
      </c>
      <c r="X185">
        <f>IF($S185=1,"",$U185-IFERROR(INDEX(Scarcity!$D$5:$D$9,MATCH($D185,Scarcity!$A$5:$A$9,0)),0))</f>
        <v/>
      </c>
    </row>
    <row r="186">
      <c r="A186" t="n">
        <v>185</v>
      </c>
      <c r="B186" t="inlineStr">
        <is>
          <t>Travis Sanheim</t>
        </is>
      </c>
      <c r="C186" t="inlineStr">
        <is>
          <t>PHI</t>
        </is>
      </c>
      <c r="D186" t="inlineStr">
        <is>
          <t>D</t>
        </is>
      </c>
      <c r="E186" t="inlineStr">
        <is>
          <t>D1</t>
        </is>
      </c>
      <c r="F186" t="inlineStr"/>
      <c r="G186" t="n">
        <v>22.8</v>
      </c>
      <c r="H186" t="n">
        <v>81</v>
      </c>
      <c r="I186" t="n">
        <v>1</v>
      </c>
      <c r="J186" t="n">
        <v>1</v>
      </c>
      <c r="K186" t="n">
        <v>54.2</v>
      </c>
      <c r="L186" t="n">
        <v>31</v>
      </c>
      <c r="M186" t="n">
        <v>8.800000000000001</v>
      </c>
      <c r="N186" t="n">
        <v>24.1</v>
      </c>
      <c r="O186" t="n">
        <v>2.9</v>
      </c>
      <c r="P186" t="n">
        <v>103</v>
      </c>
      <c r="Q186" t="n">
        <v>58.7</v>
      </c>
      <c r="R186" t="n">
        <v>151.3</v>
      </c>
      <c r="S186">
        <f>IF(COUNTIF(Draft!$C$5:$C$196,$B186)&gt;0,1,0)</f>
        <v/>
      </c>
      <c r="T186">
        <f>IF($S186=0,"",IFERROR(INDEX(Draft!$B$5:$B$196,MATCH($B186,Draft!$C$5:$C$196,0)),""))</f>
        <v/>
      </c>
      <c r="U186" t="n">
        <v>1.66</v>
      </c>
      <c r="V186">
        <f>IF($S186=1,-9999,$U186-ROW()/100000)</f>
        <v/>
      </c>
      <c r="W186">
        <f>IF($S186=1,"",SUMPRODUCT(($D$2:$D$301=$D186)*($V$2:$V$301&gt;$V186))+1)</f>
        <v/>
      </c>
      <c r="X186">
        <f>IF($S186=1,"",$U186-IFERROR(INDEX(Scarcity!$D$5:$D$9,MATCH($D186,Scarcity!$A$5:$A$9,0)),0))</f>
        <v/>
      </c>
    </row>
    <row r="187">
      <c r="A187" t="n">
        <v>186</v>
      </c>
      <c r="B187" t="inlineStr">
        <is>
          <t>Alexander Romanov</t>
        </is>
      </c>
      <c r="C187" t="inlineStr">
        <is>
          <t>NYI</t>
        </is>
      </c>
      <c r="D187" t="inlineStr">
        <is>
          <t>D</t>
        </is>
      </c>
      <c r="E187" t="inlineStr">
        <is>
          <t>D3</t>
        </is>
      </c>
      <c r="F187" t="inlineStr"/>
      <c r="G187" t="n">
        <v>16.9</v>
      </c>
      <c r="H187" t="n">
        <v>70</v>
      </c>
      <c r="I187" t="n">
        <v>3</v>
      </c>
      <c r="J187" t="n">
        <v>2</v>
      </c>
      <c r="K187" t="n">
        <v>24.5</v>
      </c>
      <c r="L187" t="n">
        <v>22.6</v>
      </c>
      <c r="M187" t="n">
        <v>2.8</v>
      </c>
      <c r="N187" t="n">
        <v>10.1</v>
      </c>
      <c r="O187" t="n">
        <v>0.2</v>
      </c>
      <c r="P187" t="n">
        <v>95.40000000000001</v>
      </c>
      <c r="Q187" t="n">
        <v>152.6</v>
      </c>
      <c r="R187" t="n">
        <v>154.9</v>
      </c>
      <c r="S187">
        <f>IF(COUNTIF(Draft!$C$5:$C$196,$B187)&gt;0,1,0)</f>
        <v/>
      </c>
      <c r="T187">
        <f>IF($S187=0,"",IFERROR(INDEX(Draft!$B$5:$B$196,MATCH($B187,Draft!$C$5:$C$196,0)),""))</f>
        <v/>
      </c>
      <c r="U187" t="n">
        <v>1.63</v>
      </c>
      <c r="V187">
        <f>IF($S187=1,-9999,$U187-ROW()/100000)</f>
        <v/>
      </c>
      <c r="W187">
        <f>IF($S187=1,"",SUMPRODUCT(($D$2:$D$301=$D187)*($V$2:$V$301&gt;$V187))+1)</f>
        <v/>
      </c>
      <c r="X187">
        <f>IF($S187=1,"",$U187-IFERROR(INDEX(Scarcity!$D$5:$D$9,MATCH($D187,Scarcity!$A$5:$A$9,0)),0))</f>
        <v/>
      </c>
    </row>
    <row r="188">
      <c r="A188" t="n">
        <v>187</v>
      </c>
      <c r="B188" t="inlineStr">
        <is>
          <t>Jeremy Lauzon</t>
        </is>
      </c>
      <c r="C188" t="inlineStr">
        <is>
          <t>VGK</t>
        </is>
      </c>
      <c r="D188" t="inlineStr">
        <is>
          <t>D</t>
        </is>
      </c>
      <c r="E188" t="inlineStr">
        <is>
          <t>D3</t>
        </is>
      </c>
      <c r="F188" t="inlineStr"/>
      <c r="G188" t="n">
        <v>16.4</v>
      </c>
      <c r="H188" t="n">
        <v>71</v>
      </c>
      <c r="I188" t="n">
        <v>3</v>
      </c>
      <c r="J188" t="n">
        <v>2</v>
      </c>
      <c r="K188" t="n">
        <v>18.2</v>
      </c>
      <c r="L188" t="n">
        <v>28.6</v>
      </c>
      <c r="M188" t="n">
        <v>1.6</v>
      </c>
      <c r="N188" t="n">
        <v>6.2</v>
      </c>
      <c r="O188" t="n">
        <v>0</v>
      </c>
      <c r="P188" t="n">
        <v>72.90000000000001</v>
      </c>
      <c r="Q188" t="n">
        <v>274.1</v>
      </c>
      <c r="R188" t="n">
        <v>97.59999999999999</v>
      </c>
      <c r="S188">
        <f>IF(COUNTIF(Draft!$C$5:$C$196,$B188)&gt;0,1,0)</f>
        <v/>
      </c>
      <c r="T188">
        <f>IF($S188=0,"",IFERROR(INDEX(Draft!$B$5:$B$196,MATCH($B188,Draft!$C$5:$C$196,0)),""))</f>
        <v/>
      </c>
      <c r="U188" t="n">
        <v>1.58</v>
      </c>
      <c r="V188">
        <f>IF($S188=1,-9999,$U188-ROW()/100000)</f>
        <v/>
      </c>
      <c r="W188">
        <f>IF($S188=1,"",SUMPRODUCT(($D$2:$D$301=$D188)*($V$2:$V$301&gt;$V188))+1)</f>
        <v/>
      </c>
      <c r="X188">
        <f>IF($S188=1,"",$U188-IFERROR(INDEX(Scarcity!$D$5:$D$9,MATCH($D188,Scarcity!$A$5:$A$9,0)),0))</f>
        <v/>
      </c>
    </row>
    <row r="189">
      <c r="A189" t="n">
        <v>188</v>
      </c>
      <c r="B189" t="inlineStr">
        <is>
          <t>Mackie Samoskevich</t>
        </is>
      </c>
      <c r="C189" t="inlineStr">
        <is>
          <t>SEA</t>
        </is>
      </c>
      <c r="D189" t="inlineStr">
        <is>
          <t>R</t>
        </is>
      </c>
      <c r="E189" t="inlineStr">
        <is>
          <t>L3</t>
        </is>
      </c>
      <c r="F189" t="inlineStr">
        <is>
          <t>PP2</t>
        </is>
      </c>
      <c r="G189" t="n">
        <v>14.3</v>
      </c>
      <c r="H189" t="n">
        <v>72</v>
      </c>
      <c r="I189" t="n">
        <v>3</v>
      </c>
      <c r="K189" t="n">
        <v>57</v>
      </c>
      <c r="L189" t="n">
        <v>27.4</v>
      </c>
      <c r="M189" t="n">
        <v>15.4</v>
      </c>
      <c r="N189" t="n">
        <v>19</v>
      </c>
      <c r="O189" t="n">
        <v>9.9</v>
      </c>
      <c r="P189" t="n">
        <v>148.2</v>
      </c>
      <c r="Q189" t="n">
        <v>128</v>
      </c>
      <c r="R189" t="n">
        <v>31.9</v>
      </c>
      <c r="S189">
        <f>IF(COUNTIF(Draft!$C$5:$C$196,$B189)&gt;0,1,0)</f>
        <v/>
      </c>
      <c r="T189">
        <f>IF($S189=0,"",IFERROR(INDEX(Draft!$B$5:$B$196,MATCH($B189,Draft!$C$5:$C$196,0)),""))</f>
        <v/>
      </c>
      <c r="U189" t="n">
        <v>1.57</v>
      </c>
      <c r="V189">
        <f>IF($S189=1,-9999,$U189-ROW()/100000)</f>
        <v/>
      </c>
      <c r="W189">
        <f>IF($S189=1,"",SUMPRODUCT(($D$2:$D$301=$D189)*($V$2:$V$301&gt;$V189))+1)</f>
        <v/>
      </c>
      <c r="X189">
        <f>IF($S189=1,"",$U189-IFERROR(INDEX(Scarcity!$D$5:$D$9,MATCH($D189,Scarcity!$A$5:$A$9,0)),0))</f>
        <v/>
      </c>
    </row>
    <row r="190">
      <c r="A190" t="n">
        <v>189</v>
      </c>
      <c r="B190" t="inlineStr">
        <is>
          <t>James Hagens</t>
        </is>
      </c>
      <c r="C190" t="inlineStr">
        <is>
          <t>BOS</t>
        </is>
      </c>
      <c r="D190" t="inlineStr">
        <is>
          <t>C</t>
        </is>
      </c>
      <c r="E190" t="inlineStr">
        <is>
          <t>L3</t>
        </is>
      </c>
      <c r="F190" t="inlineStr">
        <is>
          <t>PP2</t>
        </is>
      </c>
      <c r="G190" t="n">
        <v>14.3</v>
      </c>
      <c r="H190" t="n">
        <v>65</v>
      </c>
      <c r="I190" t="n">
        <v>3</v>
      </c>
      <c r="K190" t="n">
        <v>57.8</v>
      </c>
      <c r="L190" t="n">
        <v>28.6</v>
      </c>
      <c r="M190" t="n">
        <v>17</v>
      </c>
      <c r="N190" t="n">
        <v>18</v>
      </c>
      <c r="O190" t="n">
        <v>8</v>
      </c>
      <c r="P190" t="n">
        <v>179</v>
      </c>
      <c r="Q190" t="n">
        <v>99</v>
      </c>
      <c r="R190" t="n">
        <v>36</v>
      </c>
      <c r="S190">
        <f>IF(COUNTIF(Draft!$C$5:$C$196,$B190)&gt;0,1,0)</f>
        <v/>
      </c>
      <c r="T190">
        <f>IF($S190=0,"",IFERROR(INDEX(Draft!$B$5:$B$196,MATCH($B190,Draft!$C$5:$C$196,0)),""))</f>
        <v/>
      </c>
      <c r="U190" t="n">
        <v>1.56</v>
      </c>
      <c r="V190">
        <f>IF($S190=1,-9999,$U190-ROW()/100000)</f>
        <v/>
      </c>
      <c r="W190">
        <f>IF($S190=1,"",SUMPRODUCT(($D$2:$D$301=$D190)*($V$2:$V$301&gt;$V190))+1)</f>
        <v/>
      </c>
      <c r="X190">
        <f>IF($S190=1,"",$U190-IFERROR(INDEX(Scarcity!$D$5:$D$9,MATCH($D190,Scarcity!$A$5:$A$9,0)),0))</f>
        <v/>
      </c>
    </row>
    <row r="191">
      <c r="A191" t="n">
        <v>190</v>
      </c>
      <c r="B191" t="inlineStr">
        <is>
          <t>Pavel Buchnevich</t>
        </is>
      </c>
      <c r="C191" t="inlineStr">
        <is>
          <t>STL</t>
        </is>
      </c>
      <c r="D191" t="inlineStr">
        <is>
          <t>L</t>
        </is>
      </c>
      <c r="E191" t="inlineStr">
        <is>
          <t>L2</t>
        </is>
      </c>
      <c r="F191" t="inlineStr">
        <is>
          <t>PP1</t>
        </is>
      </c>
      <c r="G191" t="n">
        <v>16.6</v>
      </c>
      <c r="H191" t="n">
        <v>79</v>
      </c>
      <c r="I191" t="n">
        <v>2</v>
      </c>
      <c r="J191" t="n">
        <v>2</v>
      </c>
      <c r="K191" t="n">
        <v>75.40000000000001</v>
      </c>
      <c r="L191" t="n">
        <v>20.2</v>
      </c>
      <c r="M191" t="n">
        <v>20.6</v>
      </c>
      <c r="N191" t="n">
        <v>31.1</v>
      </c>
      <c r="O191" t="n">
        <v>14.9</v>
      </c>
      <c r="P191" t="n">
        <v>137.7</v>
      </c>
      <c r="Q191" t="n">
        <v>35.3</v>
      </c>
      <c r="R191" t="n">
        <v>36</v>
      </c>
      <c r="S191">
        <f>IF(COUNTIF(Draft!$C$5:$C$196,$B191)&gt;0,1,0)</f>
        <v/>
      </c>
      <c r="T191">
        <f>IF($S191=0,"",IFERROR(INDEX(Draft!$B$5:$B$196,MATCH($B191,Draft!$C$5:$C$196,0)),""))</f>
        <v/>
      </c>
      <c r="U191" t="n">
        <v>1.55</v>
      </c>
      <c r="V191">
        <f>IF($S191=1,-9999,$U191-ROW()/100000)</f>
        <v/>
      </c>
      <c r="W191">
        <f>IF($S191=1,"",SUMPRODUCT(($D$2:$D$301=$D191)*($V$2:$V$301&gt;$V191))+1)</f>
        <v/>
      </c>
      <c r="X191">
        <f>IF($S191=1,"",$U191-IFERROR(INDEX(Scarcity!$D$5:$D$9,MATCH($D191,Scarcity!$A$5:$A$9,0)),0))</f>
        <v/>
      </c>
    </row>
    <row r="192">
      <c r="A192" t="n">
        <v>191</v>
      </c>
      <c r="B192" t="inlineStr">
        <is>
          <t>Pierre-Luc Dubois</t>
        </is>
      </c>
      <c r="C192" t="inlineStr">
        <is>
          <t>WSH</t>
        </is>
      </c>
      <c r="D192" t="inlineStr">
        <is>
          <t>C</t>
        </is>
      </c>
      <c r="E192" t="inlineStr">
        <is>
          <t>L2</t>
        </is>
      </c>
      <c r="F192" t="inlineStr">
        <is>
          <t>PP2</t>
        </is>
      </c>
      <c r="G192" t="n">
        <v>15.9</v>
      </c>
      <c r="H192" t="n">
        <v>72</v>
      </c>
      <c r="I192" t="n">
        <v>2</v>
      </c>
      <c r="J192" t="n">
        <v>3</v>
      </c>
      <c r="K192" t="n">
        <v>75.7</v>
      </c>
      <c r="L192" t="n">
        <v>32.1</v>
      </c>
      <c r="M192" t="n">
        <v>16.2</v>
      </c>
      <c r="N192" t="n">
        <v>35.7</v>
      </c>
      <c r="O192" t="n">
        <v>13.2</v>
      </c>
      <c r="P192" t="n">
        <v>116.4</v>
      </c>
      <c r="Q192" t="n">
        <v>61.8</v>
      </c>
      <c r="R192" t="n">
        <v>42.1</v>
      </c>
      <c r="S192">
        <f>IF(COUNTIF(Draft!$C$5:$C$196,$B192)&gt;0,1,0)</f>
        <v/>
      </c>
      <c r="T192">
        <f>IF($S192=0,"",IFERROR(INDEX(Draft!$B$5:$B$196,MATCH($B192,Draft!$C$5:$C$196,0)),""))</f>
        <v/>
      </c>
      <c r="U192" t="n">
        <v>1.51</v>
      </c>
      <c r="V192">
        <f>IF($S192=1,-9999,$U192-ROW()/100000)</f>
        <v/>
      </c>
      <c r="W192">
        <f>IF($S192=1,"",SUMPRODUCT(($D$2:$D$301=$D192)*($V$2:$V$301&gt;$V192))+1)</f>
        <v/>
      </c>
      <c r="X192">
        <f>IF($S192=1,"",$U192-IFERROR(INDEX(Scarcity!$D$5:$D$9,MATCH($D192,Scarcity!$A$5:$A$9,0)),0))</f>
        <v/>
      </c>
    </row>
    <row r="193">
      <c r="A193" t="n">
        <v>192</v>
      </c>
      <c r="B193" t="inlineStr">
        <is>
          <t>Shane Pinto</t>
        </is>
      </c>
      <c r="C193" t="inlineStr">
        <is>
          <t>OTT</t>
        </is>
      </c>
      <c r="D193" t="inlineStr">
        <is>
          <t>C</t>
        </is>
      </c>
      <c r="E193" t="inlineStr">
        <is>
          <t>L2</t>
        </is>
      </c>
      <c r="F193" t="inlineStr">
        <is>
          <t>PP2</t>
        </is>
      </c>
      <c r="G193" t="n">
        <v>16.9</v>
      </c>
      <c r="H193" t="n">
        <v>71</v>
      </c>
      <c r="I193" t="n">
        <v>2</v>
      </c>
      <c r="J193" t="n">
        <v>1</v>
      </c>
      <c r="K193" t="n">
        <v>71.09999999999999</v>
      </c>
      <c r="L193" t="n">
        <v>26.2</v>
      </c>
      <c r="M193" t="n">
        <v>21.4</v>
      </c>
      <c r="N193" t="n">
        <v>21.7</v>
      </c>
      <c r="O193" t="n">
        <v>4.9</v>
      </c>
      <c r="P193" t="n">
        <v>145.9</v>
      </c>
      <c r="Q193" t="n">
        <v>85.59999999999999</v>
      </c>
      <c r="R193" t="n">
        <v>49.8</v>
      </c>
      <c r="S193">
        <f>IF(COUNTIF(Draft!$C$5:$C$196,$B193)&gt;0,1,0)</f>
        <v/>
      </c>
      <c r="T193">
        <f>IF($S193=0,"",IFERROR(INDEX(Draft!$B$5:$B$196,MATCH($B193,Draft!$C$5:$C$196,0)),""))</f>
        <v/>
      </c>
      <c r="U193" t="n">
        <v>1.47</v>
      </c>
      <c r="V193">
        <f>IF($S193=1,-9999,$U193-ROW()/100000)</f>
        <v/>
      </c>
      <c r="W193">
        <f>IF($S193=1,"",SUMPRODUCT(($D$2:$D$301=$D193)*($V$2:$V$301&gt;$V193))+1)</f>
        <v/>
      </c>
      <c r="X193">
        <f>IF($S193=1,"",$U193-IFERROR(INDEX(Scarcity!$D$5:$D$9,MATCH($D193,Scarcity!$A$5:$A$9,0)),0))</f>
        <v/>
      </c>
    </row>
    <row r="194">
      <c r="A194" t="n">
        <v>193</v>
      </c>
      <c r="B194" t="inlineStr">
        <is>
          <t>Jake Neighbours</t>
        </is>
      </c>
      <c r="C194" t="inlineStr">
        <is>
          <t>STL</t>
        </is>
      </c>
      <c r="D194" t="inlineStr">
        <is>
          <t>L</t>
        </is>
      </c>
      <c r="E194" t="inlineStr">
        <is>
          <t>L3</t>
        </is>
      </c>
      <c r="F194" t="inlineStr">
        <is>
          <t>PP2</t>
        </is>
      </c>
      <c r="G194" t="n">
        <v>14.8</v>
      </c>
      <c r="H194" t="n">
        <v>70</v>
      </c>
      <c r="I194" t="n">
        <v>3</v>
      </c>
      <c r="K194" t="n">
        <v>63</v>
      </c>
      <c r="L194" t="n">
        <v>20.2</v>
      </c>
      <c r="M194" t="n">
        <v>17.1</v>
      </c>
      <c r="N194" t="n">
        <v>21</v>
      </c>
      <c r="O194" t="n">
        <v>8.699999999999999</v>
      </c>
      <c r="P194" t="n">
        <v>98.40000000000001</v>
      </c>
      <c r="Q194" t="n">
        <v>148.6</v>
      </c>
      <c r="R194" t="n">
        <v>39.7</v>
      </c>
      <c r="S194">
        <f>IF(COUNTIF(Draft!$C$5:$C$196,$B194)&gt;0,1,0)</f>
        <v/>
      </c>
      <c r="T194">
        <f>IF($S194=0,"",IFERROR(INDEX(Draft!$B$5:$B$196,MATCH($B194,Draft!$C$5:$C$196,0)),""))</f>
        <v/>
      </c>
      <c r="U194" t="n">
        <v>1.46</v>
      </c>
      <c r="V194">
        <f>IF($S194=1,-9999,$U194-ROW()/100000)</f>
        <v/>
      </c>
      <c r="W194">
        <f>IF($S194=1,"",SUMPRODUCT(($D$2:$D$301=$D194)*($V$2:$V$301&gt;$V194))+1)</f>
        <v/>
      </c>
      <c r="X194">
        <f>IF($S194=1,"",$U194-IFERROR(INDEX(Scarcity!$D$5:$D$9,MATCH($D194,Scarcity!$A$5:$A$9,0)),0))</f>
        <v/>
      </c>
    </row>
    <row r="195">
      <c r="A195" t="n">
        <v>194</v>
      </c>
      <c r="B195" t="inlineStr">
        <is>
          <t>Mason Marchment</t>
        </is>
      </c>
      <c r="C195" t="inlineStr">
        <is>
          <t>SJS</t>
        </is>
      </c>
      <c r="D195" t="inlineStr">
        <is>
          <t>L</t>
        </is>
      </c>
      <c r="E195" t="inlineStr">
        <is>
          <t>L2</t>
        </is>
      </c>
      <c r="F195" t="inlineStr">
        <is>
          <t>PP2</t>
        </is>
      </c>
      <c r="G195" t="n">
        <v>17.1</v>
      </c>
      <c r="H195" t="n">
        <v>74</v>
      </c>
      <c r="I195" t="n">
        <v>2</v>
      </c>
      <c r="K195" t="n">
        <v>70.3</v>
      </c>
      <c r="L195" t="n">
        <v>31</v>
      </c>
      <c r="M195" t="n">
        <v>20.2</v>
      </c>
      <c r="N195" t="n">
        <v>28</v>
      </c>
      <c r="O195" t="n">
        <v>9.199999999999999</v>
      </c>
      <c r="P195" t="n">
        <v>129.1</v>
      </c>
      <c r="Q195" t="n">
        <v>91.7</v>
      </c>
      <c r="R195" t="n">
        <v>29.8</v>
      </c>
      <c r="S195">
        <f>IF(COUNTIF(Draft!$C$5:$C$196,$B195)&gt;0,1,0)</f>
        <v/>
      </c>
      <c r="T195">
        <f>IF($S195=0,"",IFERROR(INDEX(Draft!$B$5:$B$196,MATCH($B195,Draft!$C$5:$C$196,0)),""))</f>
        <v/>
      </c>
      <c r="U195" t="n">
        <v>1.45</v>
      </c>
      <c r="V195">
        <f>IF($S195=1,-9999,$U195-ROW()/100000)</f>
        <v/>
      </c>
      <c r="W195">
        <f>IF($S195=1,"",SUMPRODUCT(($D$2:$D$301=$D195)*($V$2:$V$301&gt;$V195))+1)</f>
        <v/>
      </c>
      <c r="X195">
        <f>IF($S195=1,"",$U195-IFERROR(INDEX(Scarcity!$D$5:$D$9,MATCH($D195,Scarcity!$A$5:$A$9,0)),0))</f>
        <v/>
      </c>
    </row>
    <row r="196">
      <c r="A196" t="n">
        <v>195</v>
      </c>
      <c r="B196" t="inlineStr">
        <is>
          <t>Patrick Kane</t>
        </is>
      </c>
      <c r="C196" t="inlineStr">
        <is>
          <t>CHI</t>
        </is>
      </c>
      <c r="D196" t="inlineStr">
        <is>
          <t>R</t>
        </is>
      </c>
      <c r="E196" t="inlineStr">
        <is>
          <t>L1</t>
        </is>
      </c>
      <c r="F196" t="inlineStr">
        <is>
          <t>PP1</t>
        </is>
      </c>
      <c r="G196" t="n">
        <v>18.4</v>
      </c>
      <c r="H196" t="n">
        <v>63</v>
      </c>
      <c r="I196" t="n">
        <v>1</v>
      </c>
      <c r="K196" t="n">
        <v>77.09999999999999</v>
      </c>
      <c r="L196" t="n">
        <v>29.8</v>
      </c>
      <c r="M196" t="n">
        <v>16.8</v>
      </c>
      <c r="N196" t="n">
        <v>36.1</v>
      </c>
      <c r="O196" t="n">
        <v>19.7</v>
      </c>
      <c r="P196" t="n">
        <v>148.5</v>
      </c>
      <c r="Q196" t="n">
        <v>18.2</v>
      </c>
      <c r="R196" t="n">
        <v>21</v>
      </c>
      <c r="S196">
        <f>IF(COUNTIF(Draft!$C$5:$C$196,$B196)&gt;0,1,0)</f>
        <v/>
      </c>
      <c r="T196">
        <f>IF($S196=0,"",IFERROR(INDEX(Draft!$B$5:$B$196,MATCH($B196,Draft!$C$5:$C$196,0)),""))</f>
        <v/>
      </c>
      <c r="U196" t="n">
        <v>1.44</v>
      </c>
      <c r="V196">
        <f>IF($S196=1,-9999,$U196-ROW()/100000)</f>
        <v/>
      </c>
      <c r="W196">
        <f>IF($S196=1,"",SUMPRODUCT(($D$2:$D$301=$D196)*($V$2:$V$301&gt;$V196))+1)</f>
        <v/>
      </c>
      <c r="X196">
        <f>IF($S196=1,"",$U196-IFERROR(INDEX(Scarcity!$D$5:$D$9,MATCH($D196,Scarcity!$A$5:$A$9,0)),0))</f>
        <v/>
      </c>
    </row>
    <row r="197">
      <c r="A197" t="n">
        <v>196</v>
      </c>
      <c r="B197" t="inlineStr">
        <is>
          <t>Martin Fehérváry</t>
        </is>
      </c>
      <c r="C197" t="inlineStr">
        <is>
          <t>WSH</t>
        </is>
      </c>
      <c r="D197" t="inlineStr">
        <is>
          <t>D</t>
        </is>
      </c>
      <c r="E197" t="inlineStr">
        <is>
          <t>D3</t>
        </is>
      </c>
      <c r="F197" t="inlineStr"/>
      <c r="G197" t="n">
        <v>16.8</v>
      </c>
      <c r="H197" t="n">
        <v>78</v>
      </c>
      <c r="I197" t="n">
        <v>3</v>
      </c>
      <c r="J197" t="n">
        <v>1</v>
      </c>
      <c r="K197" t="n">
        <v>44.3</v>
      </c>
      <c r="L197" t="n">
        <v>32.1</v>
      </c>
      <c r="M197" t="n">
        <v>4.6</v>
      </c>
      <c r="N197" t="n">
        <v>18.7</v>
      </c>
      <c r="O197" t="n">
        <v>0.1</v>
      </c>
      <c r="P197" t="n">
        <v>70.90000000000001</v>
      </c>
      <c r="Q197" t="n">
        <v>125</v>
      </c>
      <c r="R197" t="n">
        <v>156.6</v>
      </c>
      <c r="S197">
        <f>IF(COUNTIF(Draft!$C$5:$C$196,$B197)&gt;0,1,0)</f>
        <v/>
      </c>
      <c r="T197">
        <f>IF($S197=0,"",IFERROR(INDEX(Draft!$B$5:$B$196,MATCH($B197,Draft!$C$5:$C$196,0)),""))</f>
        <v/>
      </c>
      <c r="U197" t="n">
        <v>1.44</v>
      </c>
      <c r="V197">
        <f>IF($S197=1,-9999,$U197-ROW()/100000)</f>
        <v/>
      </c>
      <c r="W197">
        <f>IF($S197=1,"",SUMPRODUCT(($D$2:$D$301=$D197)*($V$2:$V$301&gt;$V197))+1)</f>
        <v/>
      </c>
      <c r="X197">
        <f>IF($S197=1,"",$U197-IFERROR(INDEX(Scarcity!$D$5:$D$9,MATCH($D197,Scarcity!$A$5:$A$9,0)),0))</f>
        <v/>
      </c>
    </row>
    <row r="198">
      <c r="A198" t="n">
        <v>197</v>
      </c>
      <c r="B198" t="inlineStr">
        <is>
          <t>Anthony Cirelli</t>
        </is>
      </c>
      <c r="C198" t="inlineStr">
        <is>
          <t>TBL</t>
        </is>
      </c>
      <c r="D198" t="inlineStr">
        <is>
          <t>C</t>
        </is>
      </c>
      <c r="E198" t="inlineStr">
        <is>
          <t>L1</t>
        </is>
      </c>
      <c r="F198" t="inlineStr">
        <is>
          <t>PP2</t>
        </is>
      </c>
      <c r="G198" t="n">
        <v>17.9</v>
      </c>
      <c r="H198" t="n">
        <v>77</v>
      </c>
      <c r="I198" t="n">
        <v>1</v>
      </c>
      <c r="J198" t="n">
        <v>1</v>
      </c>
      <c r="K198" t="n">
        <v>78.8</v>
      </c>
      <c r="L198" t="n">
        <v>19</v>
      </c>
      <c r="M198" t="n">
        <v>23.1</v>
      </c>
      <c r="N198" t="n">
        <v>30.8</v>
      </c>
      <c r="O198" t="n">
        <v>4.8</v>
      </c>
      <c r="P198" t="n">
        <v>132.8</v>
      </c>
      <c r="Q198" t="n">
        <v>46.9</v>
      </c>
      <c r="R198" t="n">
        <v>57.1</v>
      </c>
      <c r="S198">
        <f>IF(COUNTIF(Draft!$C$5:$C$196,$B198)&gt;0,1,0)</f>
        <v/>
      </c>
      <c r="T198">
        <f>IF($S198=0,"",IFERROR(INDEX(Draft!$B$5:$B$196,MATCH($B198,Draft!$C$5:$C$196,0)),""))</f>
        <v/>
      </c>
      <c r="U198" t="n">
        <v>1.43</v>
      </c>
      <c r="V198">
        <f>IF($S198=1,-9999,$U198-ROW()/100000)</f>
        <v/>
      </c>
      <c r="W198">
        <f>IF($S198=1,"",SUMPRODUCT(($D$2:$D$301=$D198)*($V$2:$V$301&gt;$V198))+1)</f>
        <v/>
      </c>
      <c r="X198">
        <f>IF($S198=1,"",$U198-IFERROR(INDEX(Scarcity!$D$5:$D$9,MATCH($D198,Scarcity!$A$5:$A$9,0)),0))</f>
        <v/>
      </c>
    </row>
    <row r="199">
      <c r="A199" t="n">
        <v>198</v>
      </c>
      <c r="B199" t="inlineStr">
        <is>
          <t>Chris Kreider</t>
        </is>
      </c>
      <c r="C199" t="inlineStr">
        <is>
          <t>ANA</t>
        </is>
      </c>
      <c r="D199" t="inlineStr">
        <is>
          <t>L</t>
        </is>
      </c>
      <c r="E199" t="inlineStr">
        <is>
          <t>L1</t>
        </is>
      </c>
      <c r="F199" t="inlineStr">
        <is>
          <t>PP2</t>
        </is>
      </c>
      <c r="G199" t="n">
        <v>18.6</v>
      </c>
      <c r="H199" t="n">
        <v>73</v>
      </c>
      <c r="I199" t="n">
        <v>1</v>
      </c>
      <c r="K199" t="n">
        <v>72.7</v>
      </c>
      <c r="L199" t="n">
        <v>34.5</v>
      </c>
      <c r="M199" t="n">
        <v>21.9</v>
      </c>
      <c r="N199" t="n">
        <v>22.2</v>
      </c>
      <c r="O199" t="n">
        <v>14.5</v>
      </c>
      <c r="P199" t="n">
        <v>138.8</v>
      </c>
      <c r="Q199" t="n">
        <v>73.2</v>
      </c>
      <c r="R199" t="n">
        <v>21.1</v>
      </c>
      <c r="S199">
        <f>IF(COUNTIF(Draft!$C$5:$C$196,$B199)&gt;0,1,0)</f>
        <v/>
      </c>
      <c r="T199">
        <f>IF($S199=0,"",IFERROR(INDEX(Draft!$B$5:$B$196,MATCH($B199,Draft!$C$5:$C$196,0)),""))</f>
        <v/>
      </c>
      <c r="U199" t="n">
        <v>1.41</v>
      </c>
      <c r="V199">
        <f>IF($S199=1,-9999,$U199-ROW()/100000)</f>
        <v/>
      </c>
      <c r="W199">
        <f>IF($S199=1,"",SUMPRODUCT(($D$2:$D$301=$D199)*($V$2:$V$301&gt;$V199))+1)</f>
        <v/>
      </c>
      <c r="X199">
        <f>IF($S199=1,"",$U199-IFERROR(INDEX(Scarcity!$D$5:$D$9,MATCH($D199,Scarcity!$A$5:$A$9,0)),0))</f>
        <v/>
      </c>
    </row>
    <row r="200">
      <c r="A200" t="n">
        <v>199</v>
      </c>
      <c r="B200" t="inlineStr">
        <is>
          <t>Braden Schneider</t>
        </is>
      </c>
      <c r="C200" t="inlineStr">
        <is>
          <t>NYR</t>
        </is>
      </c>
      <c r="D200" t="inlineStr">
        <is>
          <t>D</t>
        </is>
      </c>
      <c r="E200" t="inlineStr">
        <is>
          <t>D3</t>
        </is>
      </c>
      <c r="F200" t="inlineStr"/>
      <c r="G200" t="n">
        <v>18.3</v>
      </c>
      <c r="H200" t="n">
        <v>79</v>
      </c>
      <c r="I200" t="n">
        <v>3</v>
      </c>
      <c r="J200" t="n">
        <v>2</v>
      </c>
      <c r="K200" t="n">
        <v>32.5</v>
      </c>
      <c r="L200" t="n">
        <v>34.5</v>
      </c>
      <c r="M200" t="n">
        <v>3.4</v>
      </c>
      <c r="N200" t="n">
        <v>13.7</v>
      </c>
      <c r="O200" t="n">
        <v>0.1</v>
      </c>
      <c r="P200" t="n">
        <v>98.09999999999999</v>
      </c>
      <c r="Q200" t="n">
        <v>153.7</v>
      </c>
      <c r="R200" t="n">
        <v>134.8</v>
      </c>
      <c r="S200">
        <f>IF(COUNTIF(Draft!$C$5:$C$196,$B200)&gt;0,1,0)</f>
        <v/>
      </c>
      <c r="T200">
        <f>IF($S200=0,"",IFERROR(INDEX(Draft!$B$5:$B$196,MATCH($B200,Draft!$C$5:$C$196,0)),""))</f>
        <v/>
      </c>
      <c r="U200" t="n">
        <v>1.41</v>
      </c>
      <c r="V200">
        <f>IF($S200=1,-9999,$U200-ROW()/100000)</f>
        <v/>
      </c>
      <c r="W200">
        <f>IF($S200=1,"",SUMPRODUCT(($D$2:$D$301=$D200)*($V$2:$V$301&gt;$V200))+1)</f>
        <v/>
      </c>
      <c r="X200">
        <f>IF($S200=1,"",$U200-IFERROR(INDEX(Scarcity!$D$5:$D$9,MATCH($D200,Scarcity!$A$5:$A$9,0)),0))</f>
        <v/>
      </c>
    </row>
    <row r="201">
      <c r="A201" t="n">
        <v>200</v>
      </c>
      <c r="B201" t="inlineStr">
        <is>
          <t>Kris Letang</t>
        </is>
      </c>
      <c r="C201" t="inlineStr">
        <is>
          <t>PIT</t>
        </is>
      </c>
      <c r="D201" t="inlineStr">
        <is>
          <t>D</t>
        </is>
      </c>
      <c r="E201" t="inlineStr">
        <is>
          <t>D2</t>
        </is>
      </c>
      <c r="F201" t="inlineStr">
        <is>
          <t>PP2</t>
        </is>
      </c>
      <c r="G201" t="n">
        <v>20.6</v>
      </c>
      <c r="H201" t="n">
        <v>67</v>
      </c>
      <c r="I201" t="n">
        <v>2</v>
      </c>
      <c r="J201" t="n">
        <v>2</v>
      </c>
      <c r="K201" t="n">
        <v>53.8</v>
      </c>
      <c r="L201" t="n">
        <v>32.1</v>
      </c>
      <c r="M201" t="n">
        <v>5.7</v>
      </c>
      <c r="N201" t="n">
        <v>26.9</v>
      </c>
      <c r="O201" t="n">
        <v>9.6</v>
      </c>
      <c r="P201" t="n">
        <v>113</v>
      </c>
      <c r="Q201" t="n">
        <v>95</v>
      </c>
      <c r="R201" t="n">
        <v>88.3</v>
      </c>
      <c r="S201">
        <f>IF(COUNTIF(Draft!$C$5:$C$196,$B201)&gt;0,1,0)</f>
        <v/>
      </c>
      <c r="T201">
        <f>IF($S201=0,"",IFERROR(INDEX(Draft!$B$5:$B$196,MATCH($B201,Draft!$C$5:$C$196,0)),""))</f>
        <v/>
      </c>
      <c r="U201" t="n">
        <v>1.36</v>
      </c>
      <c r="V201">
        <f>IF($S201=1,-9999,$U201-ROW()/100000)</f>
        <v/>
      </c>
      <c r="W201">
        <f>IF($S201=1,"",SUMPRODUCT(($D$2:$D$301=$D201)*($V$2:$V$301&gt;$V201))+1)</f>
        <v/>
      </c>
      <c r="X201">
        <f>IF($S201=1,"",$U201-IFERROR(INDEX(Scarcity!$D$5:$D$9,MATCH($D201,Scarcity!$A$5:$A$9,0)),0))</f>
        <v/>
      </c>
    </row>
    <row r="202">
      <c r="A202" t="n">
        <v>201</v>
      </c>
      <c r="B202" t="inlineStr">
        <is>
          <t>Tyson Foerster</t>
        </is>
      </c>
      <c r="C202" t="inlineStr">
        <is>
          <t>PHI</t>
        </is>
      </c>
      <c r="D202" t="inlineStr">
        <is>
          <t>R</t>
        </is>
      </c>
      <c r="E202" t="inlineStr">
        <is>
          <t>L2</t>
        </is>
      </c>
      <c r="F202" t="inlineStr">
        <is>
          <t>PP2</t>
        </is>
      </c>
      <c r="G202" t="n">
        <v>16.5</v>
      </c>
      <c r="H202" t="n">
        <v>70</v>
      </c>
      <c r="I202" t="n">
        <v>2</v>
      </c>
      <c r="J202" t="n">
        <v>2</v>
      </c>
      <c r="K202" t="n">
        <v>61.8</v>
      </c>
      <c r="L202" t="n">
        <v>31</v>
      </c>
      <c r="M202" t="n">
        <v>23.7</v>
      </c>
      <c r="N202" t="n">
        <v>13.8</v>
      </c>
      <c r="O202" t="n">
        <v>9.800000000000001</v>
      </c>
      <c r="P202" t="n">
        <v>139.7</v>
      </c>
      <c r="Q202" t="n">
        <v>69.8</v>
      </c>
      <c r="R202" t="n">
        <v>50.7</v>
      </c>
      <c r="S202">
        <f>IF(COUNTIF(Draft!$C$5:$C$196,$B202)&gt;0,1,0)</f>
        <v/>
      </c>
      <c r="T202">
        <f>IF($S202=0,"",IFERROR(INDEX(Draft!$B$5:$B$196,MATCH($B202,Draft!$C$5:$C$196,0)),""))</f>
        <v/>
      </c>
      <c r="U202" t="n">
        <v>1.31</v>
      </c>
      <c r="V202">
        <f>IF($S202=1,-9999,$U202-ROW()/100000)</f>
        <v/>
      </c>
      <c r="W202">
        <f>IF($S202=1,"",SUMPRODUCT(($D$2:$D$301=$D202)*($V$2:$V$301&gt;$V202))+1)</f>
        <v/>
      </c>
      <c r="X202">
        <f>IF($S202=1,"",$U202-IFERROR(INDEX(Scarcity!$D$5:$D$9,MATCH($D202,Scarcity!$A$5:$A$9,0)),0))</f>
        <v/>
      </c>
    </row>
    <row r="203">
      <c r="A203" t="n">
        <v>202</v>
      </c>
      <c r="B203" t="inlineStr">
        <is>
          <t>Nikita Zadorov</t>
        </is>
      </c>
      <c r="C203" t="inlineStr">
        <is>
          <t>BOS</t>
        </is>
      </c>
      <c r="D203" t="inlineStr">
        <is>
          <t>D</t>
        </is>
      </c>
      <c r="E203" t="inlineStr">
        <is>
          <t>D3</t>
        </is>
      </c>
      <c r="F203" t="inlineStr"/>
      <c r="G203" t="n">
        <v>18.6</v>
      </c>
      <c r="H203" t="n">
        <v>80</v>
      </c>
      <c r="I203" t="n">
        <v>3</v>
      </c>
      <c r="J203" t="n">
        <v>2</v>
      </c>
      <c r="K203" t="n">
        <v>36.5</v>
      </c>
      <c r="L203" t="n">
        <v>28.6</v>
      </c>
      <c r="M203" t="n">
        <v>3.5</v>
      </c>
      <c r="N203" t="n">
        <v>15.7</v>
      </c>
      <c r="O203" t="n">
        <v>0.1</v>
      </c>
      <c r="P203" t="n">
        <v>98.59999999999999</v>
      </c>
      <c r="Q203" t="n">
        <v>194.5</v>
      </c>
      <c r="R203" t="n">
        <v>97.59999999999999</v>
      </c>
      <c r="S203">
        <f>IF(COUNTIF(Draft!$C$5:$C$196,$B203)&gt;0,1,0)</f>
        <v/>
      </c>
      <c r="T203">
        <f>IF($S203=0,"",IFERROR(INDEX(Draft!$B$5:$B$196,MATCH($B203,Draft!$C$5:$C$196,0)),""))</f>
        <v/>
      </c>
      <c r="U203" t="n">
        <v>1.31</v>
      </c>
      <c r="V203">
        <f>IF($S203=1,-9999,$U203-ROW()/100000)</f>
        <v/>
      </c>
      <c r="W203">
        <f>IF($S203=1,"",SUMPRODUCT(($D$2:$D$301=$D203)*($V$2:$V$301&gt;$V203))+1)</f>
        <v/>
      </c>
      <c r="X203">
        <f>IF($S203=1,"",$U203-IFERROR(INDEX(Scarcity!$D$5:$D$9,MATCH($D203,Scarcity!$A$5:$A$9,0)),0))</f>
        <v/>
      </c>
    </row>
    <row r="204">
      <c r="A204" t="n">
        <v>203</v>
      </c>
      <c r="B204" t="inlineStr">
        <is>
          <t>Boone Jenner</t>
        </is>
      </c>
      <c r="C204" t="inlineStr">
        <is>
          <t>WSH</t>
        </is>
      </c>
      <c r="D204" t="inlineStr">
        <is>
          <t>C</t>
        </is>
      </c>
      <c r="E204" t="inlineStr">
        <is>
          <t>L4</t>
        </is>
      </c>
      <c r="F204" t="inlineStr">
        <is>
          <t>PP2</t>
        </is>
      </c>
      <c r="G204" t="n">
        <v>14.1</v>
      </c>
      <c r="H204" t="n">
        <v>62</v>
      </c>
      <c r="I204" t="n">
        <v>4</v>
      </c>
      <c r="J204" t="n">
        <v>2</v>
      </c>
      <c r="K204" t="n">
        <v>59.7</v>
      </c>
      <c r="L204" t="n">
        <v>32.1</v>
      </c>
      <c r="M204" t="n">
        <v>14.4</v>
      </c>
      <c r="N204" t="n">
        <v>21.8</v>
      </c>
      <c r="O204" t="n">
        <v>3.9</v>
      </c>
      <c r="P204" t="n">
        <v>124.3</v>
      </c>
      <c r="Q204" t="n">
        <v>127.3</v>
      </c>
      <c r="R204" t="n">
        <v>58.4</v>
      </c>
      <c r="S204">
        <f>IF(COUNTIF(Draft!$C$5:$C$196,$B204)&gt;0,1,0)</f>
        <v/>
      </c>
      <c r="T204">
        <f>IF($S204=0,"",IFERROR(INDEX(Draft!$B$5:$B$196,MATCH($B204,Draft!$C$5:$C$196,0)),""))</f>
        <v/>
      </c>
      <c r="U204" t="n">
        <v>1.29</v>
      </c>
      <c r="V204">
        <f>IF($S204=1,-9999,$U204-ROW()/100000)</f>
        <v/>
      </c>
      <c r="W204">
        <f>IF($S204=1,"",SUMPRODUCT(($D$2:$D$301=$D204)*($V$2:$V$301&gt;$V204))+1)</f>
        <v/>
      </c>
      <c r="X204">
        <f>IF($S204=1,"",$U204-IFERROR(INDEX(Scarcity!$D$5:$D$9,MATCH($D204,Scarcity!$A$5:$A$9,0)),0))</f>
        <v/>
      </c>
    </row>
    <row r="205">
      <c r="A205" t="n">
        <v>204</v>
      </c>
      <c r="B205" t="inlineStr">
        <is>
          <t>Josh Norris</t>
        </is>
      </c>
      <c r="C205" t="inlineStr">
        <is>
          <t>BUF</t>
        </is>
      </c>
      <c r="D205" t="inlineStr">
        <is>
          <t>C</t>
        </is>
      </c>
      <c r="E205" t="inlineStr">
        <is>
          <t>L2</t>
        </is>
      </c>
      <c r="F205" t="inlineStr">
        <is>
          <t>PP1</t>
        </is>
      </c>
      <c r="G205" t="n">
        <v>15.8</v>
      </c>
      <c r="H205" t="n">
        <v>64</v>
      </c>
      <c r="I205" t="n">
        <v>2</v>
      </c>
      <c r="K205" t="n">
        <v>73.5</v>
      </c>
      <c r="L205" t="n">
        <v>26.2</v>
      </c>
      <c r="M205" t="n">
        <v>19.2</v>
      </c>
      <c r="N205" t="n">
        <v>25.3</v>
      </c>
      <c r="O205" t="n">
        <v>13.6</v>
      </c>
      <c r="P205" t="n">
        <v>103.7</v>
      </c>
      <c r="Q205" t="n">
        <v>76.59999999999999</v>
      </c>
      <c r="R205" t="n">
        <v>42.6</v>
      </c>
      <c r="S205">
        <f>IF(COUNTIF(Draft!$C$5:$C$196,$B205)&gt;0,1,0)</f>
        <v/>
      </c>
      <c r="T205">
        <f>IF($S205=0,"",IFERROR(INDEX(Draft!$B$5:$B$196,MATCH($B205,Draft!$C$5:$C$196,0)),""))</f>
        <v/>
      </c>
      <c r="U205" t="n">
        <v>1.26</v>
      </c>
      <c r="V205">
        <f>IF($S205=1,-9999,$U205-ROW()/100000)</f>
        <v/>
      </c>
      <c r="W205">
        <f>IF($S205=1,"",SUMPRODUCT(($D$2:$D$301=$D205)*($V$2:$V$301&gt;$V205))+1)</f>
        <v/>
      </c>
      <c r="X205">
        <f>IF($S205=1,"",$U205-IFERROR(INDEX(Scarcity!$D$5:$D$9,MATCH($D205,Scarcity!$A$5:$A$9,0)),0))</f>
        <v/>
      </c>
    </row>
    <row r="206">
      <c r="A206" t="n">
        <v>205</v>
      </c>
      <c r="B206" t="inlineStr">
        <is>
          <t>Jonathan Marchessault</t>
        </is>
      </c>
      <c r="C206" t="inlineStr">
        <is>
          <t>NSH</t>
        </is>
      </c>
      <c r="D206" t="inlineStr">
        <is>
          <t>R</t>
        </is>
      </c>
      <c r="E206" t="inlineStr">
        <is>
          <t>L1</t>
        </is>
      </c>
      <c r="F206" t="inlineStr">
        <is>
          <t>PP2</t>
        </is>
      </c>
      <c r="G206" t="n">
        <v>17.9</v>
      </c>
      <c r="H206" t="n">
        <v>71</v>
      </c>
      <c r="I206" t="n">
        <v>1</v>
      </c>
      <c r="K206" t="n">
        <v>69.7</v>
      </c>
      <c r="L206" t="n">
        <v>17.9</v>
      </c>
      <c r="M206" t="n">
        <v>18.2</v>
      </c>
      <c r="N206" t="n">
        <v>24</v>
      </c>
      <c r="O206" t="n">
        <v>12.9</v>
      </c>
      <c r="P206" t="n">
        <v>157.7</v>
      </c>
      <c r="Q206" t="n">
        <v>79.5</v>
      </c>
      <c r="R206" t="n">
        <v>15.1</v>
      </c>
      <c r="S206">
        <f>IF(COUNTIF(Draft!$C$5:$C$196,$B206)&gt;0,1,0)</f>
        <v/>
      </c>
      <c r="T206">
        <f>IF($S206=0,"",IFERROR(INDEX(Draft!$B$5:$B$196,MATCH($B206,Draft!$C$5:$C$196,0)),""))</f>
        <v/>
      </c>
      <c r="U206" t="n">
        <v>1.26</v>
      </c>
      <c r="V206">
        <f>IF($S206=1,-9999,$U206-ROW()/100000)</f>
        <v/>
      </c>
      <c r="W206">
        <f>IF($S206=1,"",SUMPRODUCT(($D$2:$D$301=$D206)*($V$2:$V$301&gt;$V206))+1)</f>
        <v/>
      </c>
      <c r="X206">
        <f>IF($S206=1,"",$U206-IFERROR(INDEX(Scarcity!$D$5:$D$9,MATCH($D206,Scarcity!$A$5:$A$9,0)),0))</f>
        <v/>
      </c>
    </row>
    <row r="207">
      <c r="A207" t="n">
        <v>206</v>
      </c>
      <c r="B207" t="inlineStr">
        <is>
          <t>Frank Vatrano</t>
        </is>
      </c>
      <c r="C207" t="inlineStr">
        <is>
          <t>ANA</t>
        </is>
      </c>
      <c r="D207" t="inlineStr">
        <is>
          <t>R</t>
        </is>
      </c>
      <c r="E207" t="inlineStr">
        <is>
          <t>L3</t>
        </is>
      </c>
      <c r="F207" t="inlineStr">
        <is>
          <t>PP2</t>
        </is>
      </c>
      <c r="G207" t="n">
        <v>13.6</v>
      </c>
      <c r="H207" t="n">
        <v>75</v>
      </c>
      <c r="I207" t="n">
        <v>3</v>
      </c>
      <c r="K207" t="n">
        <v>50.4</v>
      </c>
      <c r="L207" t="n">
        <v>34.5</v>
      </c>
      <c r="M207" t="n">
        <v>14.2</v>
      </c>
      <c r="N207" t="n">
        <v>12.4</v>
      </c>
      <c r="O207" t="n">
        <v>4.3</v>
      </c>
      <c r="P207" t="n">
        <v>157.4</v>
      </c>
      <c r="Q207" t="n">
        <v>132.1</v>
      </c>
      <c r="R207" t="n">
        <v>52</v>
      </c>
      <c r="S207">
        <f>IF(COUNTIF(Draft!$C$5:$C$196,$B207)&gt;0,1,0)</f>
        <v/>
      </c>
      <c r="T207">
        <f>IF($S207=0,"",IFERROR(INDEX(Draft!$B$5:$B$196,MATCH($B207,Draft!$C$5:$C$196,0)),""))</f>
        <v/>
      </c>
      <c r="U207" t="n">
        <v>1.24</v>
      </c>
      <c r="V207">
        <f>IF($S207=1,-9999,$U207-ROW()/100000)</f>
        <v/>
      </c>
      <c r="W207">
        <f>IF($S207=1,"",SUMPRODUCT(($D$2:$D$301=$D207)*($V$2:$V$301&gt;$V207))+1)</f>
        <v/>
      </c>
      <c r="X207">
        <f>IF($S207=1,"",$U207-IFERROR(INDEX(Scarcity!$D$5:$D$9,MATCH($D207,Scarcity!$A$5:$A$9,0)),0))</f>
        <v/>
      </c>
    </row>
    <row r="208">
      <c r="A208" t="n">
        <v>207</v>
      </c>
      <c r="B208" t="inlineStr">
        <is>
          <t>Jake McCabe</t>
        </is>
      </c>
      <c r="C208" t="inlineStr">
        <is>
          <t>TOR</t>
        </is>
      </c>
      <c r="D208" t="inlineStr">
        <is>
          <t>D</t>
        </is>
      </c>
      <c r="E208" t="inlineStr">
        <is>
          <t>D2</t>
        </is>
      </c>
      <c r="F208" t="inlineStr"/>
      <c r="G208" t="n">
        <v>20.2</v>
      </c>
      <c r="H208" t="n">
        <v>75</v>
      </c>
      <c r="I208" t="n">
        <v>2</v>
      </c>
      <c r="J208" t="n">
        <v>1</v>
      </c>
      <c r="K208" t="n">
        <v>40.4</v>
      </c>
      <c r="L208" t="n">
        <v>26.2</v>
      </c>
      <c r="M208" t="n">
        <v>3.7</v>
      </c>
      <c r="N208" t="n">
        <v>17.5</v>
      </c>
      <c r="O208" t="n">
        <v>0.2</v>
      </c>
      <c r="P208" t="n">
        <v>70.90000000000001</v>
      </c>
      <c r="Q208" t="n">
        <v>114.4</v>
      </c>
      <c r="R208" t="n">
        <v>162.1</v>
      </c>
      <c r="S208">
        <f>IF(COUNTIF(Draft!$C$5:$C$196,$B208)&gt;0,1,0)</f>
        <v/>
      </c>
      <c r="T208">
        <f>IF($S208=0,"",IFERROR(INDEX(Draft!$B$5:$B$196,MATCH($B208,Draft!$C$5:$C$196,0)),""))</f>
        <v/>
      </c>
      <c r="U208" t="n">
        <v>1.23</v>
      </c>
      <c r="V208">
        <f>IF($S208=1,-9999,$U208-ROW()/100000)</f>
        <v/>
      </c>
      <c r="W208">
        <f>IF($S208=1,"",SUMPRODUCT(($D$2:$D$301=$D208)*($V$2:$V$301&gt;$V208))+1)</f>
        <v/>
      </c>
      <c r="X208">
        <f>IF($S208=1,"",$U208-IFERROR(INDEX(Scarcity!$D$5:$D$9,MATCH($D208,Scarcity!$A$5:$A$9,0)),0))</f>
        <v/>
      </c>
    </row>
    <row r="209">
      <c r="A209" t="n">
        <v>208</v>
      </c>
      <c r="B209" t="inlineStr">
        <is>
          <t>Matt Coronato</t>
        </is>
      </c>
      <c r="C209" t="inlineStr">
        <is>
          <t>CGY</t>
        </is>
      </c>
      <c r="D209" t="inlineStr">
        <is>
          <t>R</t>
        </is>
      </c>
      <c r="E209" t="inlineStr">
        <is>
          <t>L1</t>
        </is>
      </c>
      <c r="F209" t="inlineStr">
        <is>
          <t>PP1</t>
        </is>
      </c>
      <c r="G209" t="n">
        <v>18.2</v>
      </c>
      <c r="H209" t="n">
        <v>71</v>
      </c>
      <c r="I209" t="n">
        <v>1</v>
      </c>
      <c r="K209" t="n">
        <v>73.2</v>
      </c>
      <c r="L209" t="n">
        <v>26.2</v>
      </c>
      <c r="M209" t="n">
        <v>19.7</v>
      </c>
      <c r="N209" t="n">
        <v>24.6</v>
      </c>
      <c r="O209" t="n">
        <v>15.2</v>
      </c>
      <c r="P209" t="n">
        <v>174.2</v>
      </c>
      <c r="Q209" t="n">
        <v>25</v>
      </c>
      <c r="R209" t="n">
        <v>25.1</v>
      </c>
      <c r="S209">
        <f>IF(COUNTIF(Draft!$C$5:$C$196,$B209)&gt;0,1,0)</f>
        <v/>
      </c>
      <c r="T209">
        <f>IF($S209=0,"",IFERROR(INDEX(Draft!$B$5:$B$196,MATCH($B209,Draft!$C$5:$C$196,0)),""))</f>
        <v/>
      </c>
      <c r="U209" t="n">
        <v>1.21</v>
      </c>
      <c r="V209">
        <f>IF($S209=1,-9999,$U209-ROW()/100000)</f>
        <v/>
      </c>
      <c r="W209">
        <f>IF($S209=1,"",SUMPRODUCT(($D$2:$D$301=$D209)*($V$2:$V$301&gt;$V209))+1)</f>
        <v/>
      </c>
      <c r="X209">
        <f>IF($S209=1,"",$U209-IFERROR(INDEX(Scarcity!$D$5:$D$9,MATCH($D209,Scarcity!$A$5:$A$9,0)),0))</f>
        <v/>
      </c>
    </row>
    <row r="210">
      <c r="A210" t="n">
        <v>209</v>
      </c>
      <c r="B210" t="inlineStr">
        <is>
          <t>Adam Larsson</t>
        </is>
      </c>
      <c r="C210" t="inlineStr">
        <is>
          <t>SEA</t>
        </is>
      </c>
      <c r="D210" t="inlineStr">
        <is>
          <t>D</t>
        </is>
      </c>
      <c r="E210" t="inlineStr">
        <is>
          <t>D2</t>
        </is>
      </c>
      <c r="F210" t="inlineStr"/>
      <c r="G210" t="n">
        <v>21</v>
      </c>
      <c r="H210" t="n">
        <v>79</v>
      </c>
      <c r="I210" t="n">
        <v>2</v>
      </c>
      <c r="J210" t="n">
        <v>1</v>
      </c>
      <c r="K210" t="n">
        <v>38.4</v>
      </c>
      <c r="L210" t="n">
        <v>27.4</v>
      </c>
      <c r="M210" t="n">
        <v>4.9</v>
      </c>
      <c r="N210" t="n">
        <v>15.2</v>
      </c>
      <c r="O210" t="n">
        <v>0</v>
      </c>
      <c r="P210" t="n">
        <v>97.90000000000001</v>
      </c>
      <c r="Q210" t="n">
        <v>110.1</v>
      </c>
      <c r="R210" t="n">
        <v>148.2</v>
      </c>
      <c r="S210">
        <f>IF(COUNTIF(Draft!$C$5:$C$196,$B210)&gt;0,1,0)</f>
        <v/>
      </c>
      <c r="T210">
        <f>IF($S210=0,"",IFERROR(INDEX(Draft!$B$5:$B$196,MATCH($B210,Draft!$C$5:$C$196,0)),""))</f>
        <v/>
      </c>
      <c r="U210" t="n">
        <v>1.2</v>
      </c>
      <c r="V210">
        <f>IF($S210=1,-9999,$U210-ROW()/100000)</f>
        <v/>
      </c>
      <c r="W210">
        <f>IF($S210=1,"",SUMPRODUCT(($D$2:$D$301=$D210)*($V$2:$V$301&gt;$V210))+1)</f>
        <v/>
      </c>
      <c r="X210">
        <f>IF($S210=1,"",$U210-IFERROR(INDEX(Scarcity!$D$5:$D$9,MATCH($D210,Scarcity!$A$5:$A$9,0)),0))</f>
        <v/>
      </c>
    </row>
    <row r="211">
      <c r="A211" t="n">
        <v>210</v>
      </c>
      <c r="B211" t="inlineStr">
        <is>
          <t>JJ Peterka</t>
        </is>
      </c>
      <c r="C211" t="inlineStr">
        <is>
          <t>BOS</t>
        </is>
      </c>
      <c r="D211" t="inlineStr">
        <is>
          <t>R</t>
        </is>
      </c>
      <c r="E211" t="inlineStr">
        <is>
          <t>L2</t>
        </is>
      </c>
      <c r="F211" t="inlineStr">
        <is>
          <t>PP2</t>
        </is>
      </c>
      <c r="G211" t="n">
        <v>15.6</v>
      </c>
      <c r="H211" t="n">
        <v>80</v>
      </c>
      <c r="I211" t="n">
        <v>2</v>
      </c>
      <c r="K211" t="n">
        <v>78.09999999999999</v>
      </c>
      <c r="L211" t="n">
        <v>28.6</v>
      </c>
      <c r="M211" t="n">
        <v>24.9</v>
      </c>
      <c r="N211" t="n">
        <v>28.6</v>
      </c>
      <c r="O211" t="n">
        <v>9.9</v>
      </c>
      <c r="P211" t="n">
        <v>168.5</v>
      </c>
      <c r="Q211" t="n">
        <v>21.3</v>
      </c>
      <c r="R211" t="n">
        <v>19.3</v>
      </c>
      <c r="S211">
        <f>IF(COUNTIF(Draft!$C$5:$C$196,$B211)&gt;0,1,0)</f>
        <v/>
      </c>
      <c r="T211">
        <f>IF($S211=0,"",IFERROR(INDEX(Draft!$B$5:$B$196,MATCH($B211,Draft!$C$5:$C$196,0)),""))</f>
        <v/>
      </c>
      <c r="U211" t="n">
        <v>1.11</v>
      </c>
      <c r="V211">
        <f>IF($S211=1,-9999,$U211-ROW()/100000)</f>
        <v/>
      </c>
      <c r="W211">
        <f>IF($S211=1,"",SUMPRODUCT(($D$2:$D$301=$D211)*($V$2:$V$301&gt;$V211))+1)</f>
        <v/>
      </c>
      <c r="X211">
        <f>IF($S211=1,"",$U211-IFERROR(INDEX(Scarcity!$D$5:$D$9,MATCH($D211,Scarcity!$A$5:$A$9,0)),0))</f>
        <v/>
      </c>
    </row>
    <row r="212">
      <c r="A212" t="n">
        <v>211</v>
      </c>
      <c r="B212" t="inlineStr">
        <is>
          <t>Mario Ferraro</t>
        </is>
      </c>
      <c r="C212" t="inlineStr">
        <is>
          <t>WPG</t>
        </is>
      </c>
      <c r="D212" t="inlineStr">
        <is>
          <t>D</t>
        </is>
      </c>
      <c r="E212" t="inlineStr">
        <is>
          <t>D3</t>
        </is>
      </c>
      <c r="F212" t="inlineStr"/>
      <c r="G212" t="n">
        <v>20</v>
      </c>
      <c r="H212" t="n">
        <v>79</v>
      </c>
      <c r="I212" t="n">
        <v>3</v>
      </c>
      <c r="J212" t="n">
        <v>1</v>
      </c>
      <c r="K212" t="n">
        <v>31.6</v>
      </c>
      <c r="L212" t="n">
        <v>27.4</v>
      </c>
      <c r="M212" t="n">
        <v>4.3</v>
      </c>
      <c r="N212" t="n">
        <v>12.3</v>
      </c>
      <c r="O212" t="n">
        <v>0.1</v>
      </c>
      <c r="P212" t="n">
        <v>86.2</v>
      </c>
      <c r="Q212" t="n">
        <v>136</v>
      </c>
      <c r="R212" t="n">
        <v>143.1</v>
      </c>
      <c r="S212">
        <f>IF(COUNTIF(Draft!$C$5:$C$196,$B212)&gt;0,1,0)</f>
        <v/>
      </c>
      <c r="T212">
        <f>IF($S212=0,"",IFERROR(INDEX(Draft!$B$5:$B$196,MATCH($B212,Draft!$C$5:$C$196,0)),""))</f>
        <v/>
      </c>
      <c r="U212" t="n">
        <v>1.1</v>
      </c>
      <c r="V212">
        <f>IF($S212=1,-9999,$U212-ROW()/100000)</f>
        <v/>
      </c>
      <c r="W212">
        <f>IF($S212=1,"",SUMPRODUCT(($D$2:$D$301=$D212)*($V$2:$V$301&gt;$V212))+1)</f>
        <v/>
      </c>
      <c r="X212">
        <f>IF($S212=1,"",$U212-IFERROR(INDEX(Scarcity!$D$5:$D$9,MATCH($D212,Scarcity!$A$5:$A$9,0)),0))</f>
        <v/>
      </c>
    </row>
    <row r="213">
      <c r="A213" t="n">
        <v>212</v>
      </c>
      <c r="B213" t="inlineStr">
        <is>
          <t>Morgan Frost</t>
        </is>
      </c>
      <c r="C213" t="inlineStr">
        <is>
          <t>CGY</t>
        </is>
      </c>
      <c r="D213" t="inlineStr">
        <is>
          <t>C</t>
        </is>
      </c>
      <c r="E213" t="inlineStr">
        <is>
          <t>L1</t>
        </is>
      </c>
      <c r="F213" t="inlineStr">
        <is>
          <t>PP1</t>
        </is>
      </c>
      <c r="G213" t="n">
        <v>17.1</v>
      </c>
      <c r="H213" t="n">
        <v>77</v>
      </c>
      <c r="I213" t="n">
        <v>1</v>
      </c>
      <c r="K213" t="n">
        <v>63.4</v>
      </c>
      <c r="L213" t="n">
        <v>26.2</v>
      </c>
      <c r="M213" t="n">
        <v>17</v>
      </c>
      <c r="N213" t="n">
        <v>21.5</v>
      </c>
      <c r="O213" t="n">
        <v>14.7</v>
      </c>
      <c r="P213" t="n">
        <v>130</v>
      </c>
      <c r="Q213" t="n">
        <v>59.7</v>
      </c>
      <c r="R213" t="n">
        <v>43.4</v>
      </c>
      <c r="S213">
        <f>IF(COUNTIF(Draft!$C$5:$C$196,$B213)&gt;0,1,0)</f>
        <v/>
      </c>
      <c r="T213">
        <f>IF($S213=0,"",IFERROR(INDEX(Draft!$B$5:$B$196,MATCH($B213,Draft!$C$5:$C$196,0)),""))</f>
        <v/>
      </c>
      <c r="U213" t="n">
        <v>1.08</v>
      </c>
      <c r="V213">
        <f>IF($S213=1,-9999,$U213-ROW()/100000)</f>
        <v/>
      </c>
      <c r="W213">
        <f>IF($S213=1,"",SUMPRODUCT(($D$2:$D$301=$D213)*($V$2:$V$301&gt;$V213))+1)</f>
        <v/>
      </c>
      <c r="X213">
        <f>IF($S213=1,"",$U213-IFERROR(INDEX(Scarcity!$D$5:$D$9,MATCH($D213,Scarcity!$A$5:$A$9,0)),0))</f>
        <v/>
      </c>
    </row>
    <row r="214">
      <c r="A214" t="n">
        <v>213</v>
      </c>
      <c r="B214" t="inlineStr">
        <is>
          <t>Valeri Nichushkin</t>
        </is>
      </c>
      <c r="C214" t="inlineStr">
        <is>
          <t>CBJ</t>
        </is>
      </c>
      <c r="D214" t="inlineStr">
        <is>
          <t>R</t>
        </is>
      </c>
      <c r="E214" t="inlineStr">
        <is>
          <t>L1</t>
        </is>
      </c>
      <c r="F214" t="inlineStr">
        <is>
          <t>PP2</t>
        </is>
      </c>
      <c r="G214" t="n">
        <v>18.3</v>
      </c>
      <c r="H214" t="n">
        <v>67</v>
      </c>
      <c r="I214" t="n">
        <v>1</v>
      </c>
      <c r="J214" t="n">
        <v>1</v>
      </c>
      <c r="K214" t="n">
        <v>71.59999999999999</v>
      </c>
      <c r="L214" t="n">
        <v>20.2</v>
      </c>
      <c r="M214" t="n">
        <v>20.7</v>
      </c>
      <c r="N214" t="n">
        <v>28.4</v>
      </c>
      <c r="O214" t="n">
        <v>7.7</v>
      </c>
      <c r="P214" t="n">
        <v>149.4</v>
      </c>
      <c r="Q214" t="n">
        <v>59.5</v>
      </c>
      <c r="R214" t="n">
        <v>27.3</v>
      </c>
      <c r="S214">
        <f>IF(COUNTIF(Draft!$C$5:$C$196,$B214)&gt;0,1,0)</f>
        <v/>
      </c>
      <c r="T214">
        <f>IF($S214=0,"",IFERROR(INDEX(Draft!$B$5:$B$196,MATCH($B214,Draft!$C$5:$C$196,0)),""))</f>
        <v/>
      </c>
      <c r="U214" t="n">
        <v>1.05</v>
      </c>
      <c r="V214">
        <f>IF($S214=1,-9999,$U214-ROW()/100000)</f>
        <v/>
      </c>
      <c r="W214">
        <f>IF($S214=1,"",SUMPRODUCT(($D$2:$D$301=$D214)*($V$2:$V$301&gt;$V214))+1)</f>
        <v/>
      </c>
      <c r="X214">
        <f>IF($S214=1,"",$U214-IFERROR(INDEX(Scarcity!$D$5:$D$9,MATCH($D214,Scarcity!$A$5:$A$9,0)),0))</f>
        <v/>
      </c>
    </row>
    <row r="215">
      <c r="A215" t="n">
        <v>214</v>
      </c>
      <c r="B215" t="inlineStr">
        <is>
          <t>Marco Kasper</t>
        </is>
      </c>
      <c r="C215" t="inlineStr">
        <is>
          <t>DET</t>
        </is>
      </c>
      <c r="D215" t="inlineStr">
        <is>
          <t>C</t>
        </is>
      </c>
      <c r="E215" t="inlineStr">
        <is>
          <t>L3</t>
        </is>
      </c>
      <c r="F215" t="inlineStr">
        <is>
          <t>PP2</t>
        </is>
      </c>
      <c r="G215" t="n">
        <v>13.8</v>
      </c>
      <c r="H215" t="n">
        <v>74</v>
      </c>
      <c r="I215" t="n">
        <v>3</v>
      </c>
      <c r="J215" t="n">
        <v>3</v>
      </c>
      <c r="K215" t="n">
        <v>49.3</v>
      </c>
      <c r="L215" t="n">
        <v>28.6</v>
      </c>
      <c r="M215" t="n">
        <v>13.5</v>
      </c>
      <c r="N215" t="n">
        <v>12.4</v>
      </c>
      <c r="O215" t="n">
        <v>3.1</v>
      </c>
      <c r="P215" t="n">
        <v>135.2</v>
      </c>
      <c r="Q215" t="n">
        <v>163.8</v>
      </c>
      <c r="R215" t="n">
        <v>45.4</v>
      </c>
      <c r="S215">
        <f>IF(COUNTIF(Draft!$C$5:$C$196,$B215)&gt;0,1,0)</f>
        <v/>
      </c>
      <c r="T215">
        <f>IF($S215=0,"",IFERROR(INDEX(Draft!$B$5:$B$196,MATCH($B215,Draft!$C$5:$C$196,0)),""))</f>
        <v/>
      </c>
      <c r="U215" t="n">
        <v>1.05</v>
      </c>
      <c r="V215">
        <f>IF($S215=1,-9999,$U215-ROW()/100000)</f>
        <v/>
      </c>
      <c r="W215">
        <f>IF($S215=1,"",SUMPRODUCT(($D$2:$D$301=$D215)*($V$2:$V$301&gt;$V215))+1)</f>
        <v/>
      </c>
      <c r="X215">
        <f>IF($S215=1,"",$U215-IFERROR(INDEX(Scarcity!$D$5:$D$9,MATCH($D215,Scarcity!$A$5:$A$9,0)),0))</f>
        <v/>
      </c>
    </row>
    <row r="216">
      <c r="A216" t="n">
        <v>215</v>
      </c>
      <c r="B216" t="inlineStr">
        <is>
          <t>Jackson Blake</t>
        </is>
      </c>
      <c r="C216" t="inlineStr">
        <is>
          <t>CAR</t>
        </is>
      </c>
      <c r="D216" t="inlineStr">
        <is>
          <t>R</t>
        </is>
      </c>
      <c r="E216" t="inlineStr">
        <is>
          <t>L2</t>
        </is>
      </c>
      <c r="F216" t="inlineStr">
        <is>
          <t>PP1</t>
        </is>
      </c>
      <c r="G216" t="n">
        <v>16.4</v>
      </c>
      <c r="H216" t="n">
        <v>74</v>
      </c>
      <c r="I216" t="n">
        <v>2</v>
      </c>
      <c r="K216" t="n">
        <v>74.5</v>
      </c>
      <c r="L216" t="n">
        <v>26.2</v>
      </c>
      <c r="M216" t="n">
        <v>22.9</v>
      </c>
      <c r="N216" t="n">
        <v>28.2</v>
      </c>
      <c r="O216" t="n">
        <v>10.6</v>
      </c>
      <c r="P216" t="n">
        <v>161.1</v>
      </c>
      <c r="Q216" t="n">
        <v>15.4</v>
      </c>
      <c r="R216" t="n">
        <v>31.1</v>
      </c>
      <c r="S216">
        <f>IF(COUNTIF(Draft!$C$5:$C$196,$B216)&gt;0,1,0)</f>
        <v/>
      </c>
      <c r="T216">
        <f>IF($S216=0,"",IFERROR(INDEX(Draft!$B$5:$B$196,MATCH($B216,Draft!$C$5:$C$196,0)),""))</f>
        <v/>
      </c>
      <c r="U216" t="n">
        <v>1.04</v>
      </c>
      <c r="V216">
        <f>IF($S216=1,-9999,$U216-ROW()/100000)</f>
        <v/>
      </c>
      <c r="W216">
        <f>IF($S216=1,"",SUMPRODUCT(($D$2:$D$301=$D216)*($V$2:$V$301&gt;$V216))+1)</f>
        <v/>
      </c>
      <c r="X216">
        <f>IF($S216=1,"",$U216-IFERROR(INDEX(Scarcity!$D$5:$D$9,MATCH($D216,Scarcity!$A$5:$A$9,0)),0))</f>
        <v/>
      </c>
    </row>
    <row r="217">
      <c r="A217" t="n">
        <v>216</v>
      </c>
      <c r="B217" t="inlineStr">
        <is>
          <t>Dawson Mercer</t>
        </is>
      </c>
      <c r="C217" t="inlineStr">
        <is>
          <t>NJD</t>
        </is>
      </c>
      <c r="D217" t="inlineStr">
        <is>
          <t>C</t>
        </is>
      </c>
      <c r="E217" t="inlineStr">
        <is>
          <t>L2</t>
        </is>
      </c>
      <c r="F217" t="inlineStr">
        <is>
          <t>PP2</t>
        </is>
      </c>
      <c r="G217" t="n">
        <v>17.3</v>
      </c>
      <c r="H217" t="n">
        <v>82</v>
      </c>
      <c r="I217" t="n">
        <v>2</v>
      </c>
      <c r="J217" t="n">
        <v>2</v>
      </c>
      <c r="K217" t="n">
        <v>72.09999999999999</v>
      </c>
      <c r="L217" t="n">
        <v>21.4</v>
      </c>
      <c r="M217" t="n">
        <v>21.7</v>
      </c>
      <c r="N217" t="n">
        <v>22</v>
      </c>
      <c r="O217" t="n">
        <v>7.8</v>
      </c>
      <c r="P217" t="n">
        <v>155.6</v>
      </c>
      <c r="Q217" t="n">
        <v>35.6</v>
      </c>
      <c r="R217" t="n">
        <v>50.1</v>
      </c>
      <c r="S217">
        <f>IF(COUNTIF(Draft!$C$5:$C$196,$B217)&gt;0,1,0)</f>
        <v/>
      </c>
      <c r="T217">
        <f>IF($S217=0,"",IFERROR(INDEX(Draft!$B$5:$B$196,MATCH($B217,Draft!$C$5:$C$196,0)),""))</f>
        <v/>
      </c>
      <c r="U217" t="n">
        <v>1.03</v>
      </c>
      <c r="V217">
        <f>IF($S217=1,-9999,$U217-ROW()/100000)</f>
        <v/>
      </c>
      <c r="W217">
        <f>IF($S217=1,"",SUMPRODUCT(($D$2:$D$301=$D217)*($V$2:$V$301&gt;$V217))+1)</f>
        <v/>
      </c>
      <c r="X217">
        <f>IF($S217=1,"",$U217-IFERROR(INDEX(Scarcity!$D$5:$D$9,MATCH($D217,Scarcity!$A$5:$A$9,0)),0))</f>
        <v/>
      </c>
    </row>
    <row r="218">
      <c r="A218" t="n">
        <v>217</v>
      </c>
      <c r="B218" t="inlineStr">
        <is>
          <t>Jack Quinn</t>
        </is>
      </c>
      <c r="C218" t="inlineStr">
        <is>
          <t>BUF</t>
        </is>
      </c>
      <c r="D218" t="inlineStr">
        <is>
          <t>R</t>
        </is>
      </c>
      <c r="E218" t="inlineStr">
        <is>
          <t>L1</t>
        </is>
      </c>
      <c r="F218" t="inlineStr">
        <is>
          <t>PP2</t>
        </is>
      </c>
      <c r="G218" t="n">
        <v>17.6</v>
      </c>
      <c r="H218" t="n">
        <v>73</v>
      </c>
      <c r="I218" t="n">
        <v>1</v>
      </c>
      <c r="J218" t="n">
        <v>3</v>
      </c>
      <c r="K218" t="n">
        <v>78.40000000000001</v>
      </c>
      <c r="L218" t="n">
        <v>26.2</v>
      </c>
      <c r="M218" t="n">
        <v>19.1</v>
      </c>
      <c r="N218" t="n">
        <v>28.5</v>
      </c>
      <c r="O218" t="n">
        <v>10.8</v>
      </c>
      <c r="P218" t="n">
        <v>158.8</v>
      </c>
      <c r="Q218" t="n">
        <v>46.3</v>
      </c>
      <c r="R218" t="n">
        <v>23.8</v>
      </c>
      <c r="S218">
        <f>IF(COUNTIF(Draft!$C$5:$C$196,$B218)&gt;0,1,0)</f>
        <v/>
      </c>
      <c r="T218">
        <f>IF($S218=0,"",IFERROR(INDEX(Draft!$B$5:$B$196,MATCH($B218,Draft!$C$5:$C$196,0)),""))</f>
        <v/>
      </c>
      <c r="U218" t="n">
        <v>1.02</v>
      </c>
      <c r="V218">
        <f>IF($S218=1,-9999,$U218-ROW()/100000)</f>
        <v/>
      </c>
      <c r="W218">
        <f>IF($S218=1,"",SUMPRODUCT(($D$2:$D$301=$D218)*($V$2:$V$301&gt;$V218))+1)</f>
        <v/>
      </c>
      <c r="X218">
        <f>IF($S218=1,"",$U218-IFERROR(INDEX(Scarcity!$D$5:$D$9,MATCH($D218,Scarcity!$A$5:$A$9,0)),0))</f>
        <v/>
      </c>
    </row>
    <row r="219">
      <c r="A219" t="n">
        <v>218</v>
      </c>
      <c r="B219" t="inlineStr">
        <is>
          <t>Alexander Wennberg</t>
        </is>
      </c>
      <c r="C219" t="inlineStr">
        <is>
          <t>SJS</t>
        </is>
      </c>
      <c r="D219" t="inlineStr">
        <is>
          <t>C</t>
        </is>
      </c>
      <c r="E219" t="inlineStr">
        <is>
          <t>L1</t>
        </is>
      </c>
      <c r="F219" t="inlineStr">
        <is>
          <t>PP1</t>
        </is>
      </c>
      <c r="G219" t="n">
        <v>20.3</v>
      </c>
      <c r="H219" t="n">
        <v>80</v>
      </c>
      <c r="I219" t="n">
        <v>1</v>
      </c>
      <c r="J219" t="n">
        <v>2</v>
      </c>
      <c r="K219" t="n">
        <v>75.5</v>
      </c>
      <c r="L219" t="n">
        <v>31</v>
      </c>
      <c r="M219" t="n">
        <v>13.6</v>
      </c>
      <c r="N219" t="n">
        <v>32.1</v>
      </c>
      <c r="O219" t="n">
        <v>12.7</v>
      </c>
      <c r="P219" t="n">
        <v>85.8</v>
      </c>
      <c r="Q219" t="n">
        <v>30.7</v>
      </c>
      <c r="R219" t="n">
        <v>85.5</v>
      </c>
      <c r="S219">
        <f>IF(COUNTIF(Draft!$C$5:$C$196,$B219)&gt;0,1,0)</f>
        <v/>
      </c>
      <c r="T219">
        <f>IF($S219=0,"",IFERROR(INDEX(Draft!$B$5:$B$196,MATCH($B219,Draft!$C$5:$C$196,0)),""))</f>
        <v/>
      </c>
      <c r="U219" t="n">
        <v>1.02</v>
      </c>
      <c r="V219">
        <f>IF($S219=1,-9999,$U219-ROW()/100000)</f>
        <v/>
      </c>
      <c r="W219">
        <f>IF($S219=1,"",SUMPRODUCT(($D$2:$D$301=$D219)*($V$2:$V$301&gt;$V219))+1)</f>
        <v/>
      </c>
      <c r="X219">
        <f>IF($S219=1,"",$U219-IFERROR(INDEX(Scarcity!$D$5:$D$9,MATCH($D219,Scarcity!$A$5:$A$9,0)),0))</f>
        <v/>
      </c>
    </row>
    <row r="220">
      <c r="A220" t="n">
        <v>219</v>
      </c>
      <c r="B220" t="inlineStr">
        <is>
          <t>Jonathan Huberdeau</t>
        </is>
      </c>
      <c r="C220" t="inlineStr">
        <is>
          <t>CGY</t>
        </is>
      </c>
      <c r="D220" t="inlineStr">
        <is>
          <t>L</t>
        </is>
      </c>
      <c r="E220" t="inlineStr">
        <is>
          <t>L1</t>
        </is>
      </c>
      <c r="F220" t="inlineStr">
        <is>
          <t>PP1</t>
        </is>
      </c>
      <c r="G220" t="n">
        <v>18.6</v>
      </c>
      <c r="H220" t="n">
        <v>74</v>
      </c>
      <c r="I220" t="n">
        <v>1</v>
      </c>
      <c r="J220" t="n">
        <v>2</v>
      </c>
      <c r="K220" t="n">
        <v>72.3</v>
      </c>
      <c r="L220" t="n">
        <v>26.2</v>
      </c>
      <c r="M220" t="n">
        <v>17.2</v>
      </c>
      <c r="N220" t="n">
        <v>26.6</v>
      </c>
      <c r="O220" t="n">
        <v>14.4</v>
      </c>
      <c r="P220" t="n">
        <v>119.4</v>
      </c>
      <c r="Q220" t="n">
        <v>45.8</v>
      </c>
      <c r="R220" t="n">
        <v>45.4</v>
      </c>
      <c r="S220">
        <f>IF(COUNTIF(Draft!$C$5:$C$196,$B220)&gt;0,1,0)</f>
        <v/>
      </c>
      <c r="T220">
        <f>IF($S220=0,"",IFERROR(INDEX(Draft!$B$5:$B$196,MATCH($B220,Draft!$C$5:$C$196,0)),""))</f>
        <v/>
      </c>
      <c r="U220" t="n">
        <v>0.99</v>
      </c>
      <c r="V220">
        <f>IF($S220=1,-9999,$U220-ROW()/100000)</f>
        <v/>
      </c>
      <c r="W220">
        <f>IF($S220=1,"",SUMPRODUCT(($D$2:$D$301=$D220)*($V$2:$V$301&gt;$V220))+1)</f>
        <v/>
      </c>
      <c r="X220">
        <f>IF($S220=1,"",$U220-IFERROR(INDEX(Scarcity!$D$5:$D$9,MATCH($D220,Scarcity!$A$5:$A$9,0)),0))</f>
        <v/>
      </c>
    </row>
    <row r="221">
      <c r="A221" t="n">
        <v>220</v>
      </c>
      <c r="B221" t="inlineStr">
        <is>
          <t>Zachary Bolduc</t>
        </is>
      </c>
      <c r="C221" t="inlineStr">
        <is>
          <t>MTL</t>
        </is>
      </c>
      <c r="D221" t="inlineStr">
        <is>
          <t>R</t>
        </is>
      </c>
      <c r="E221" t="inlineStr">
        <is>
          <t>L3</t>
        </is>
      </c>
      <c r="F221" t="inlineStr">
        <is>
          <t>PP2</t>
        </is>
      </c>
      <c r="G221" t="n">
        <v>14.2</v>
      </c>
      <c r="H221" t="n">
        <v>73</v>
      </c>
      <c r="I221" t="n">
        <v>3</v>
      </c>
      <c r="K221" t="n">
        <v>54.8</v>
      </c>
      <c r="L221" t="n">
        <v>26.2</v>
      </c>
      <c r="M221" t="n">
        <v>15.1</v>
      </c>
      <c r="N221" t="n">
        <v>18.2</v>
      </c>
      <c r="O221" t="n">
        <v>7.6</v>
      </c>
      <c r="P221" t="n">
        <v>107.1</v>
      </c>
      <c r="Q221" t="n">
        <v>142.7</v>
      </c>
      <c r="R221" t="n">
        <v>39</v>
      </c>
      <c r="S221">
        <f>IF(COUNTIF(Draft!$C$5:$C$196,$B221)&gt;0,1,0)</f>
        <v/>
      </c>
      <c r="T221">
        <f>IF($S221=0,"",IFERROR(INDEX(Draft!$B$5:$B$196,MATCH($B221,Draft!$C$5:$C$196,0)),""))</f>
        <v/>
      </c>
      <c r="U221" t="n">
        <v>0.98</v>
      </c>
      <c r="V221">
        <f>IF($S221=1,-9999,$U221-ROW()/100000)</f>
        <v/>
      </c>
      <c r="W221">
        <f>IF($S221=1,"",SUMPRODUCT(($D$2:$D$301=$D221)*($V$2:$V$301&gt;$V221))+1)</f>
        <v/>
      </c>
      <c r="X221">
        <f>IF($S221=1,"",$U221-IFERROR(INDEX(Scarcity!$D$5:$D$9,MATCH($D221,Scarcity!$A$5:$A$9,0)),0))</f>
        <v/>
      </c>
    </row>
    <row r="222">
      <c r="A222" t="n">
        <v>221</v>
      </c>
      <c r="B222" t="inlineStr">
        <is>
          <t>Mattias Samuelsson</t>
        </is>
      </c>
      <c r="C222" t="inlineStr">
        <is>
          <t>BUF</t>
        </is>
      </c>
      <c r="D222" t="inlineStr">
        <is>
          <t>D</t>
        </is>
      </c>
      <c r="E222" t="inlineStr">
        <is>
          <t>D1</t>
        </is>
      </c>
      <c r="F222" t="inlineStr"/>
      <c r="G222" t="n">
        <v>22.4</v>
      </c>
      <c r="H222" t="n">
        <v>68</v>
      </c>
      <c r="I222" t="n">
        <v>1</v>
      </c>
      <c r="J222" t="n">
        <v>1</v>
      </c>
      <c r="K222" t="n">
        <v>50.1</v>
      </c>
      <c r="L222" t="n">
        <v>26.2</v>
      </c>
      <c r="M222" t="n">
        <v>6.9</v>
      </c>
      <c r="N222" t="n">
        <v>19.5</v>
      </c>
      <c r="O222" t="n">
        <v>0.3</v>
      </c>
      <c r="P222" t="n">
        <v>83.8</v>
      </c>
      <c r="Q222" t="n">
        <v>117.8</v>
      </c>
      <c r="R222" t="n">
        <v>124.4</v>
      </c>
      <c r="S222">
        <f>IF(COUNTIF(Draft!$C$5:$C$196,$B222)&gt;0,1,0)</f>
        <v/>
      </c>
      <c r="T222">
        <f>IF($S222=0,"",IFERROR(INDEX(Draft!$B$5:$B$196,MATCH($B222,Draft!$C$5:$C$196,0)),""))</f>
        <v/>
      </c>
      <c r="U222" t="n">
        <v>0.9399999999999999</v>
      </c>
      <c r="V222">
        <f>IF($S222=1,-9999,$U222-ROW()/100000)</f>
        <v/>
      </c>
      <c r="W222">
        <f>IF($S222=1,"",SUMPRODUCT(($D$2:$D$301=$D222)*($V$2:$V$301&gt;$V222))+1)</f>
        <v/>
      </c>
      <c r="X222">
        <f>IF($S222=1,"",$U222-IFERROR(INDEX(Scarcity!$D$5:$D$9,MATCH($D222,Scarcity!$A$5:$A$9,0)),0))</f>
        <v/>
      </c>
    </row>
    <row r="223">
      <c r="A223" t="n">
        <v>222</v>
      </c>
      <c r="B223" t="inlineStr">
        <is>
          <t>Oliver Bjorkstrand</t>
        </is>
      </c>
      <c r="C223" t="inlineStr">
        <is>
          <t>NYR</t>
        </is>
      </c>
      <c r="D223" t="inlineStr">
        <is>
          <t>R</t>
        </is>
      </c>
      <c r="E223" t="inlineStr">
        <is>
          <t>L3</t>
        </is>
      </c>
      <c r="F223" t="inlineStr">
        <is>
          <t>PP2</t>
        </is>
      </c>
      <c r="G223" t="n">
        <v>13.5</v>
      </c>
      <c r="H223" t="n">
        <v>78</v>
      </c>
      <c r="I223" t="n">
        <v>3</v>
      </c>
      <c r="K223" t="n">
        <v>62.3</v>
      </c>
      <c r="L223" t="n">
        <v>34.5</v>
      </c>
      <c r="M223" t="n">
        <v>15.9</v>
      </c>
      <c r="N223" t="n">
        <v>21.7</v>
      </c>
      <c r="O223" t="n">
        <v>13.3</v>
      </c>
      <c r="P223" t="n">
        <v>130.5</v>
      </c>
      <c r="Q223" t="n">
        <v>77.09999999999999</v>
      </c>
      <c r="R223" t="n">
        <v>33.9</v>
      </c>
      <c r="S223">
        <f>IF(COUNTIF(Draft!$C$5:$C$196,$B223)&gt;0,1,0)</f>
        <v/>
      </c>
      <c r="T223">
        <f>IF($S223=0,"",IFERROR(INDEX(Draft!$B$5:$B$196,MATCH($B223,Draft!$C$5:$C$196,0)),""))</f>
        <v/>
      </c>
      <c r="U223" t="n">
        <v>0.92</v>
      </c>
      <c r="V223">
        <f>IF($S223=1,-9999,$U223-ROW()/100000)</f>
        <v/>
      </c>
      <c r="W223">
        <f>IF($S223=1,"",SUMPRODUCT(($D$2:$D$301=$D223)*($V$2:$V$301&gt;$V223))+1)</f>
        <v/>
      </c>
      <c r="X223">
        <f>IF($S223=1,"",$U223-IFERROR(INDEX(Scarcity!$D$5:$D$9,MATCH($D223,Scarcity!$A$5:$A$9,0)),0))</f>
        <v/>
      </c>
    </row>
    <row r="224">
      <c r="A224" t="n">
        <v>223</v>
      </c>
      <c r="B224" t="inlineStr">
        <is>
          <t>Ivan Provorov</t>
        </is>
      </c>
      <c r="C224" t="inlineStr">
        <is>
          <t>CBJ</t>
        </is>
      </c>
      <c r="D224" t="inlineStr">
        <is>
          <t>D</t>
        </is>
      </c>
      <c r="E224" t="inlineStr">
        <is>
          <t>D2</t>
        </is>
      </c>
      <c r="F224" t="inlineStr">
        <is>
          <t>PP2</t>
        </is>
      </c>
      <c r="G224" t="n">
        <v>22.5</v>
      </c>
      <c r="H224" t="n">
        <v>81</v>
      </c>
      <c r="I224" t="n">
        <v>2</v>
      </c>
      <c r="J224" t="n">
        <v>1</v>
      </c>
      <c r="K224" t="n">
        <v>54.9</v>
      </c>
      <c r="L224" t="n">
        <v>20.2</v>
      </c>
      <c r="M224" t="n">
        <v>7.2</v>
      </c>
      <c r="N224" t="n">
        <v>21.7</v>
      </c>
      <c r="O224" t="n">
        <v>4.2</v>
      </c>
      <c r="P224" t="n">
        <v>128.6</v>
      </c>
      <c r="Q224" t="n">
        <v>33.3</v>
      </c>
      <c r="R224" t="n">
        <v>131.4</v>
      </c>
      <c r="S224">
        <f>IF(COUNTIF(Draft!$C$5:$C$196,$B224)&gt;0,1,0)</f>
        <v/>
      </c>
      <c r="T224">
        <f>IF($S224=0,"",IFERROR(INDEX(Draft!$B$5:$B$196,MATCH($B224,Draft!$C$5:$C$196,0)),""))</f>
        <v/>
      </c>
      <c r="U224" t="n">
        <v>0.9</v>
      </c>
      <c r="V224">
        <f>IF($S224=1,-9999,$U224-ROW()/100000)</f>
        <v/>
      </c>
      <c r="W224">
        <f>IF($S224=1,"",SUMPRODUCT(($D$2:$D$301=$D224)*($V$2:$V$301&gt;$V224))+1)</f>
        <v/>
      </c>
      <c r="X224">
        <f>IF($S224=1,"",$U224-IFERROR(INDEX(Scarcity!$D$5:$D$9,MATCH($D224,Scarcity!$A$5:$A$9,0)),0))</f>
        <v/>
      </c>
    </row>
    <row r="225">
      <c r="A225" t="n">
        <v>224</v>
      </c>
      <c r="B225" t="inlineStr">
        <is>
          <t>Conor Garland</t>
        </is>
      </c>
      <c r="C225" t="inlineStr">
        <is>
          <t>CBJ</t>
        </is>
      </c>
      <c r="D225" t="inlineStr">
        <is>
          <t>R</t>
        </is>
      </c>
      <c r="E225" t="inlineStr">
        <is>
          <t>L2</t>
        </is>
      </c>
      <c r="F225" t="inlineStr">
        <is>
          <t>PP2</t>
        </is>
      </c>
      <c r="G225" t="n">
        <v>16.7</v>
      </c>
      <c r="H225" t="n">
        <v>79</v>
      </c>
      <c r="I225" t="n">
        <v>2</v>
      </c>
      <c r="J225" t="n">
        <v>2</v>
      </c>
      <c r="K225" t="n">
        <v>67.8</v>
      </c>
      <c r="L225" t="n">
        <v>20.2</v>
      </c>
      <c r="M225" t="n">
        <v>16.1</v>
      </c>
      <c r="N225" t="n">
        <v>25</v>
      </c>
      <c r="O225" t="n">
        <v>11.3</v>
      </c>
      <c r="P225" t="n">
        <v>149.7</v>
      </c>
      <c r="Q225" t="n">
        <v>49.2</v>
      </c>
      <c r="R225" t="n">
        <v>39.5</v>
      </c>
      <c r="S225">
        <f>IF(COUNTIF(Draft!$C$5:$C$196,$B225)&gt;0,1,0)</f>
        <v/>
      </c>
      <c r="T225">
        <f>IF($S225=0,"",IFERROR(INDEX(Draft!$B$5:$B$196,MATCH($B225,Draft!$C$5:$C$196,0)),""))</f>
        <v/>
      </c>
      <c r="U225" t="n">
        <v>0.89</v>
      </c>
      <c r="V225">
        <f>IF($S225=1,-9999,$U225-ROW()/100000)</f>
        <v/>
      </c>
      <c r="W225">
        <f>IF($S225=1,"",SUMPRODUCT(($D$2:$D$301=$D225)*($V$2:$V$301&gt;$V225))+1)</f>
        <v/>
      </c>
      <c r="X225">
        <f>IF($S225=1,"",$U225-IFERROR(INDEX(Scarcity!$D$5:$D$9,MATCH($D225,Scarcity!$A$5:$A$9,0)),0))</f>
        <v/>
      </c>
    </row>
    <row r="226">
      <c r="A226" t="n">
        <v>225</v>
      </c>
      <c r="B226" t="inlineStr">
        <is>
          <t>Ivar Stenberg</t>
        </is>
      </c>
      <c r="C226" t="inlineStr">
        <is>
          <t>SJS</t>
        </is>
      </c>
      <c r="D226" t="inlineStr">
        <is>
          <t>L</t>
        </is>
      </c>
      <c r="E226" t="inlineStr">
        <is>
          <t>L4</t>
        </is>
      </c>
      <c r="F226" t="inlineStr"/>
      <c r="G226" t="n">
        <v>10.7</v>
      </c>
      <c r="H226" t="n">
        <v>65</v>
      </c>
      <c r="I226" t="n">
        <v>4</v>
      </c>
      <c r="K226" t="n">
        <v>66</v>
      </c>
      <c r="L226" t="n">
        <v>31</v>
      </c>
      <c r="M226" t="n">
        <v>13</v>
      </c>
      <c r="N226" t="n">
        <v>27</v>
      </c>
      <c r="O226" t="n">
        <v>5</v>
      </c>
      <c r="P226" t="n">
        <v>167</v>
      </c>
      <c r="Q226" t="n">
        <v>82</v>
      </c>
      <c r="R226" t="n">
        <v>36</v>
      </c>
      <c r="S226">
        <f>IF(COUNTIF(Draft!$C$5:$C$196,$B226)&gt;0,1,0)</f>
        <v/>
      </c>
      <c r="T226">
        <f>IF($S226=0,"",IFERROR(INDEX(Draft!$B$5:$B$196,MATCH($B226,Draft!$C$5:$C$196,0)),""))</f>
        <v/>
      </c>
      <c r="U226" t="n">
        <v>0.87</v>
      </c>
      <c r="V226">
        <f>IF($S226=1,-9999,$U226-ROW()/100000)</f>
        <v/>
      </c>
      <c r="W226">
        <f>IF($S226=1,"",SUMPRODUCT(($D$2:$D$301=$D226)*($V$2:$V$301&gt;$V226))+1)</f>
        <v/>
      </c>
      <c r="X226">
        <f>IF($S226=1,"",$U226-IFERROR(INDEX(Scarcity!$D$5:$D$9,MATCH($D226,Scarcity!$A$5:$A$9,0)),0))</f>
        <v/>
      </c>
    </row>
    <row r="227">
      <c r="A227" t="n">
        <v>226</v>
      </c>
      <c r="B227" t="inlineStr">
        <is>
          <t>Matt Roy</t>
        </is>
      </c>
      <c r="C227" t="inlineStr">
        <is>
          <t>WSH</t>
        </is>
      </c>
      <c r="D227" t="inlineStr">
        <is>
          <t>D</t>
        </is>
      </c>
      <c r="E227" t="inlineStr">
        <is>
          <t>D1</t>
        </is>
      </c>
      <c r="F227" t="inlineStr"/>
      <c r="G227" t="n">
        <v>19.5</v>
      </c>
      <c r="H227" t="n">
        <v>78</v>
      </c>
      <c r="I227" t="n">
        <v>1</v>
      </c>
      <c r="J227" t="n">
        <v>2</v>
      </c>
      <c r="K227" t="n">
        <v>35.2</v>
      </c>
      <c r="L227" t="n">
        <v>32.1</v>
      </c>
      <c r="M227" t="n">
        <v>2.8</v>
      </c>
      <c r="N227" t="n">
        <v>15.7</v>
      </c>
      <c r="O227" t="n">
        <v>0.1</v>
      </c>
      <c r="P227" t="n">
        <v>91.7</v>
      </c>
      <c r="Q227" t="n">
        <v>118.9</v>
      </c>
      <c r="R227" t="n">
        <v>140.8</v>
      </c>
      <c r="S227">
        <f>IF(COUNTIF(Draft!$C$5:$C$196,$B227)&gt;0,1,0)</f>
        <v/>
      </c>
      <c r="T227">
        <f>IF($S227=0,"",IFERROR(INDEX(Draft!$B$5:$B$196,MATCH($B227,Draft!$C$5:$C$196,0)),""))</f>
        <v/>
      </c>
      <c r="U227" t="n">
        <v>0.87</v>
      </c>
      <c r="V227">
        <f>IF($S227=1,-9999,$U227-ROW()/100000)</f>
        <v/>
      </c>
      <c r="W227">
        <f>IF($S227=1,"",SUMPRODUCT(($D$2:$D$301=$D227)*($V$2:$V$301&gt;$V227))+1)</f>
        <v/>
      </c>
      <c r="X227">
        <f>IF($S227=1,"",$U227-IFERROR(INDEX(Scarcity!$D$5:$D$9,MATCH($D227,Scarcity!$A$5:$A$9,0)),0))</f>
        <v/>
      </c>
    </row>
    <row r="228">
      <c r="A228" t="n">
        <v>227</v>
      </c>
      <c r="B228" t="inlineStr">
        <is>
          <t>Luke Evangelista</t>
        </is>
      </c>
      <c r="C228" t="inlineStr">
        <is>
          <t>NSH</t>
        </is>
      </c>
      <c r="D228" t="inlineStr">
        <is>
          <t>R</t>
        </is>
      </c>
      <c r="E228" t="inlineStr">
        <is>
          <t>L2</t>
        </is>
      </c>
      <c r="F228" t="inlineStr">
        <is>
          <t>PP1</t>
        </is>
      </c>
      <c r="G228" t="n">
        <v>16.9</v>
      </c>
      <c r="H228" t="n">
        <v>74</v>
      </c>
      <c r="I228" t="n">
        <v>2</v>
      </c>
      <c r="K228" t="n">
        <v>75.3</v>
      </c>
      <c r="L228" t="n">
        <v>17.9</v>
      </c>
      <c r="M228" t="n">
        <v>14</v>
      </c>
      <c r="N228" t="n">
        <v>37.6</v>
      </c>
      <c r="O228" t="n">
        <v>13.3</v>
      </c>
      <c r="P228" t="n">
        <v>160.5</v>
      </c>
      <c r="Q228" t="n">
        <v>23.7</v>
      </c>
      <c r="R228" t="n">
        <v>20</v>
      </c>
      <c r="S228">
        <f>IF(COUNTIF(Draft!$C$5:$C$196,$B228)&gt;0,1,0)</f>
        <v/>
      </c>
      <c r="T228">
        <f>IF($S228=0,"",IFERROR(INDEX(Draft!$B$5:$B$196,MATCH($B228,Draft!$C$5:$C$196,0)),""))</f>
        <v/>
      </c>
      <c r="U228" t="n">
        <v>0.86</v>
      </c>
      <c r="V228">
        <f>IF($S228=1,-9999,$U228-ROW()/100000)</f>
        <v/>
      </c>
      <c r="W228">
        <f>IF($S228=1,"",SUMPRODUCT(($D$2:$D$301=$D228)*($V$2:$V$301&gt;$V228))+1)</f>
        <v/>
      </c>
      <c r="X228">
        <f>IF($S228=1,"",$U228-IFERROR(INDEX(Scarcity!$D$5:$D$9,MATCH($D228,Scarcity!$A$5:$A$9,0)),0))</f>
        <v/>
      </c>
    </row>
    <row r="229">
      <c r="A229" t="n">
        <v>228</v>
      </c>
      <c r="B229" t="inlineStr">
        <is>
          <t>Radko Gudas</t>
        </is>
      </c>
      <c r="C229" t="inlineStr">
        <is>
          <t>FLA</t>
        </is>
      </c>
      <c r="D229" t="inlineStr">
        <is>
          <t>D</t>
        </is>
      </c>
      <c r="E229" t="inlineStr">
        <is>
          <t>D3</t>
        </is>
      </c>
      <c r="F229" t="inlineStr"/>
      <c r="G229" t="n">
        <v>15.5</v>
      </c>
      <c r="H229" t="n">
        <v>67</v>
      </c>
      <c r="I229" t="n">
        <v>3</v>
      </c>
      <c r="J229" t="n">
        <v>3</v>
      </c>
      <c r="K229" t="n">
        <v>21.1</v>
      </c>
      <c r="L229" t="n">
        <v>29.8</v>
      </c>
      <c r="M229" t="n">
        <v>1.3</v>
      </c>
      <c r="N229" t="n">
        <v>7.7</v>
      </c>
      <c r="O229" t="n">
        <v>0</v>
      </c>
      <c r="P229" t="n">
        <v>71.3</v>
      </c>
      <c r="Q229" t="n">
        <v>203.8</v>
      </c>
      <c r="R229" t="n">
        <v>118.8</v>
      </c>
      <c r="S229">
        <f>IF(COUNTIF(Draft!$C$5:$C$196,$B229)&gt;0,1,0)</f>
        <v/>
      </c>
      <c r="T229">
        <f>IF($S229=0,"",IFERROR(INDEX(Draft!$B$5:$B$196,MATCH($B229,Draft!$C$5:$C$196,0)),""))</f>
        <v/>
      </c>
      <c r="U229" t="n">
        <v>0.86</v>
      </c>
      <c r="V229">
        <f>IF($S229=1,-9999,$U229-ROW()/100000)</f>
        <v/>
      </c>
      <c r="W229">
        <f>IF($S229=1,"",SUMPRODUCT(($D$2:$D$301=$D229)*($V$2:$V$301&gt;$V229))+1)</f>
        <v/>
      </c>
      <c r="X229">
        <f>IF($S229=1,"",$U229-IFERROR(INDEX(Scarcity!$D$5:$D$9,MATCH($D229,Scarcity!$A$5:$A$9,0)),0))</f>
        <v/>
      </c>
    </row>
    <row r="230">
      <c r="A230" t="n">
        <v>229</v>
      </c>
      <c r="B230" t="inlineStr">
        <is>
          <t>Anthony Mantha</t>
        </is>
      </c>
      <c r="C230" t="inlineStr">
        <is>
          <t>NJD</t>
        </is>
      </c>
      <c r="D230" t="inlineStr">
        <is>
          <t>R</t>
        </is>
      </c>
      <c r="E230" t="inlineStr">
        <is>
          <t>L3</t>
        </is>
      </c>
      <c r="F230" t="inlineStr">
        <is>
          <t>PP2</t>
        </is>
      </c>
      <c r="G230" t="n">
        <v>14.4</v>
      </c>
      <c r="H230" t="n">
        <v>72</v>
      </c>
      <c r="I230" t="n">
        <v>3</v>
      </c>
      <c r="K230" t="n">
        <v>69.90000000000001</v>
      </c>
      <c r="L230" t="n">
        <v>21.4</v>
      </c>
      <c r="M230" t="n">
        <v>22.2</v>
      </c>
      <c r="N230" t="n">
        <v>25.7</v>
      </c>
      <c r="O230" t="n">
        <v>10.7</v>
      </c>
      <c r="P230" t="n">
        <v>121.6</v>
      </c>
      <c r="Q230" t="n">
        <v>49.7</v>
      </c>
      <c r="R230" t="n">
        <v>34.6</v>
      </c>
      <c r="S230">
        <f>IF(COUNTIF(Draft!$C$5:$C$196,$B230)&gt;0,1,0)</f>
        <v/>
      </c>
      <c r="T230">
        <f>IF($S230=0,"",IFERROR(INDEX(Draft!$B$5:$B$196,MATCH($B230,Draft!$C$5:$C$196,0)),""))</f>
        <v/>
      </c>
      <c r="U230" t="n">
        <v>0.85</v>
      </c>
      <c r="V230">
        <f>IF($S230=1,-9999,$U230-ROW()/100000)</f>
        <v/>
      </c>
      <c r="W230">
        <f>IF($S230=1,"",SUMPRODUCT(($D$2:$D$301=$D230)*($V$2:$V$301&gt;$V230))+1)</f>
        <v/>
      </c>
      <c r="X230">
        <f>IF($S230=1,"",$U230-IFERROR(INDEX(Scarcity!$D$5:$D$9,MATCH($D230,Scarcity!$A$5:$A$9,0)),0))</f>
        <v/>
      </c>
    </row>
    <row r="231">
      <c r="A231" t="n">
        <v>230</v>
      </c>
      <c r="B231" t="inlineStr">
        <is>
          <t>Connor McMichael</t>
        </is>
      </c>
      <c r="C231" t="inlineStr">
        <is>
          <t>STL</t>
        </is>
      </c>
      <c r="D231" t="inlineStr">
        <is>
          <t>L</t>
        </is>
      </c>
      <c r="E231" t="inlineStr">
        <is>
          <t>L2</t>
        </is>
      </c>
      <c r="F231" t="inlineStr">
        <is>
          <t>PP2</t>
        </is>
      </c>
      <c r="G231" t="n">
        <v>16.6</v>
      </c>
      <c r="H231" t="n">
        <v>77</v>
      </c>
      <c r="I231" t="n">
        <v>2</v>
      </c>
      <c r="J231" t="n">
        <v>1</v>
      </c>
      <c r="K231" t="n">
        <v>71.7</v>
      </c>
      <c r="L231" t="n">
        <v>20.2</v>
      </c>
      <c r="M231" t="n">
        <v>18.4</v>
      </c>
      <c r="N231" t="n">
        <v>30.7</v>
      </c>
      <c r="O231" t="n">
        <v>6.5</v>
      </c>
      <c r="P231" t="n">
        <v>143.8</v>
      </c>
      <c r="Q231" t="n">
        <v>43</v>
      </c>
      <c r="R231" t="n">
        <v>40.9</v>
      </c>
      <c r="S231">
        <f>IF(COUNTIF(Draft!$C$5:$C$196,$B231)&gt;0,1,0)</f>
        <v/>
      </c>
      <c r="T231">
        <f>IF($S231=0,"",IFERROR(INDEX(Draft!$B$5:$B$196,MATCH($B231,Draft!$C$5:$C$196,0)),""))</f>
        <v/>
      </c>
      <c r="U231" t="n">
        <v>0.8</v>
      </c>
      <c r="V231">
        <f>IF($S231=1,-9999,$U231-ROW()/100000)</f>
        <v/>
      </c>
      <c r="W231">
        <f>IF($S231=1,"",SUMPRODUCT(($D$2:$D$301=$D231)*($V$2:$V$301&gt;$V231))+1)</f>
        <v/>
      </c>
      <c r="X231">
        <f>IF($S231=1,"",$U231-IFERROR(INDEX(Scarcity!$D$5:$D$9,MATCH($D231,Scarcity!$A$5:$A$9,0)),0))</f>
        <v/>
      </c>
    </row>
    <row r="232">
      <c r="A232" t="n">
        <v>231</v>
      </c>
      <c r="B232" t="inlineStr">
        <is>
          <t>Noah Cates</t>
        </is>
      </c>
      <c r="C232" t="inlineStr">
        <is>
          <t>PHI</t>
        </is>
      </c>
      <c r="D232" t="inlineStr">
        <is>
          <t>L</t>
        </is>
      </c>
      <c r="E232" t="inlineStr">
        <is>
          <t>L3</t>
        </is>
      </c>
      <c r="F232" t="inlineStr">
        <is>
          <t>PP2</t>
        </is>
      </c>
      <c r="G232" t="n">
        <v>15.4</v>
      </c>
      <c r="H232" t="n">
        <v>77</v>
      </c>
      <c r="I232" t="n">
        <v>3</v>
      </c>
      <c r="J232" t="n">
        <v>2</v>
      </c>
      <c r="K232" t="n">
        <v>67.5</v>
      </c>
      <c r="L232" t="n">
        <v>31</v>
      </c>
      <c r="M232" t="n">
        <v>15.9</v>
      </c>
      <c r="N232" t="n">
        <v>24.9</v>
      </c>
      <c r="O232" t="n">
        <v>6.7</v>
      </c>
      <c r="P232" t="n">
        <v>113.7</v>
      </c>
      <c r="Q232" t="n">
        <v>91.2</v>
      </c>
      <c r="R232" t="n">
        <v>48.8</v>
      </c>
      <c r="S232">
        <f>IF(COUNTIF(Draft!$C$5:$C$196,$B232)&gt;0,1,0)</f>
        <v/>
      </c>
      <c r="T232">
        <f>IF($S232=0,"",IFERROR(INDEX(Draft!$B$5:$B$196,MATCH($B232,Draft!$C$5:$C$196,0)),""))</f>
        <v/>
      </c>
      <c r="U232" t="n">
        <v>0.8</v>
      </c>
      <c r="V232">
        <f>IF($S232=1,-9999,$U232-ROW()/100000)</f>
        <v/>
      </c>
      <c r="W232">
        <f>IF($S232=1,"",SUMPRODUCT(($D$2:$D$301=$D232)*($V$2:$V$301&gt;$V232))+1)</f>
        <v/>
      </c>
      <c r="X232">
        <f>IF($S232=1,"",$U232-IFERROR(INDEX(Scarcity!$D$5:$D$9,MATCH($D232,Scarcity!$A$5:$A$9,0)),0))</f>
        <v/>
      </c>
    </row>
    <row r="233">
      <c r="A233" t="n">
        <v>232</v>
      </c>
      <c r="B233" t="inlineStr">
        <is>
          <t>Mathieu Olivier</t>
        </is>
      </c>
      <c r="C233" t="inlineStr">
        <is>
          <t>CBJ</t>
        </is>
      </c>
      <c r="D233" t="inlineStr">
        <is>
          <t>R</t>
        </is>
      </c>
      <c r="E233" t="inlineStr">
        <is>
          <t>L3</t>
        </is>
      </c>
      <c r="F233" t="inlineStr"/>
      <c r="G233" t="n">
        <v>13.7</v>
      </c>
      <c r="H233" t="n">
        <v>65</v>
      </c>
      <c r="I233" t="n">
        <v>3</v>
      </c>
      <c r="J233" t="n">
        <v>3</v>
      </c>
      <c r="K233" t="n">
        <v>41.6</v>
      </c>
      <c r="L233" t="n">
        <v>20.2</v>
      </c>
      <c r="M233" t="n">
        <v>11.8</v>
      </c>
      <c r="N233" t="n">
        <v>10.2</v>
      </c>
      <c r="O233" t="n">
        <v>0.1</v>
      </c>
      <c r="P233" t="n">
        <v>87.7</v>
      </c>
      <c r="Q233" t="n">
        <v>221.3</v>
      </c>
      <c r="R233" t="n">
        <v>49</v>
      </c>
      <c r="S233">
        <f>IF(COUNTIF(Draft!$C$5:$C$196,$B233)&gt;0,1,0)</f>
        <v/>
      </c>
      <c r="T233">
        <f>IF($S233=0,"",IFERROR(INDEX(Draft!$B$5:$B$196,MATCH($B233,Draft!$C$5:$C$196,0)),""))</f>
        <v/>
      </c>
      <c r="U233" t="n">
        <v>0.78</v>
      </c>
      <c r="V233">
        <f>IF($S233=1,-9999,$U233-ROW()/100000)</f>
        <v/>
      </c>
      <c r="W233">
        <f>IF($S233=1,"",SUMPRODUCT(($D$2:$D$301=$D233)*($V$2:$V$301&gt;$V233))+1)</f>
        <v/>
      </c>
      <c r="X233">
        <f>IF($S233=1,"",$U233-IFERROR(INDEX(Scarcity!$D$5:$D$9,MATCH($D233,Scarcity!$A$5:$A$9,0)),0))</f>
        <v/>
      </c>
    </row>
    <row r="234">
      <c r="A234" t="n">
        <v>233</v>
      </c>
      <c r="B234" t="inlineStr">
        <is>
          <t>Dmitri Voronkov</t>
        </is>
      </c>
      <c r="C234" t="inlineStr">
        <is>
          <t>CBJ</t>
        </is>
      </c>
      <c r="D234" t="inlineStr">
        <is>
          <t>L</t>
        </is>
      </c>
      <c r="E234" t="inlineStr">
        <is>
          <t>L3</t>
        </is>
      </c>
      <c r="F234" t="inlineStr">
        <is>
          <t>PP2</t>
        </is>
      </c>
      <c r="G234" t="n">
        <v>13.5</v>
      </c>
      <c r="H234" t="n">
        <v>68</v>
      </c>
      <c r="I234" t="n">
        <v>3</v>
      </c>
      <c r="K234" t="n">
        <v>59.9</v>
      </c>
      <c r="L234" t="n">
        <v>20.2</v>
      </c>
      <c r="M234" t="n">
        <v>18.3</v>
      </c>
      <c r="N234" t="n">
        <v>18</v>
      </c>
      <c r="O234" t="n">
        <v>9.4</v>
      </c>
      <c r="P234" t="n">
        <v>123</v>
      </c>
      <c r="Q234" t="n">
        <v>96.59999999999999</v>
      </c>
      <c r="R234" t="n">
        <v>34.4</v>
      </c>
      <c r="S234">
        <f>IF(COUNTIF(Draft!$C$5:$C$196,$B234)&gt;0,1,0)</f>
        <v/>
      </c>
      <c r="T234">
        <f>IF($S234=0,"",IFERROR(INDEX(Draft!$B$5:$B$196,MATCH($B234,Draft!$C$5:$C$196,0)),""))</f>
        <v/>
      </c>
      <c r="U234" t="n">
        <v>0.76</v>
      </c>
      <c r="V234">
        <f>IF($S234=1,-9999,$U234-ROW()/100000)</f>
        <v/>
      </c>
      <c r="W234">
        <f>IF($S234=1,"",SUMPRODUCT(($D$2:$D$301=$D234)*($V$2:$V$301&gt;$V234))+1)</f>
        <v/>
      </c>
      <c r="X234">
        <f>IF($S234=1,"",$U234-IFERROR(INDEX(Scarcity!$D$5:$D$9,MATCH($D234,Scarcity!$A$5:$A$9,0)),0))</f>
        <v/>
      </c>
    </row>
    <row r="235">
      <c r="A235" t="n">
        <v>234</v>
      </c>
      <c r="B235" t="inlineStr">
        <is>
          <t>Shea Theodore</t>
        </is>
      </c>
      <c r="C235" t="inlineStr">
        <is>
          <t>VGK</t>
        </is>
      </c>
      <c r="D235" t="inlineStr">
        <is>
          <t>D</t>
        </is>
      </c>
      <c r="E235" t="inlineStr">
        <is>
          <t>D2</t>
        </is>
      </c>
      <c r="F235" t="inlineStr">
        <is>
          <t>PP1</t>
        </is>
      </c>
      <c r="G235" t="n">
        <v>20.6</v>
      </c>
      <c r="H235" t="n">
        <v>70</v>
      </c>
      <c r="I235" t="n">
        <v>2</v>
      </c>
      <c r="J235" t="n">
        <v>3</v>
      </c>
      <c r="K235" t="n">
        <v>73.09999999999999</v>
      </c>
      <c r="L235" t="n">
        <v>28.6</v>
      </c>
      <c r="M235" t="n">
        <v>8.5</v>
      </c>
      <c r="N235" t="n">
        <v>35.7</v>
      </c>
      <c r="O235" t="n">
        <v>9.9</v>
      </c>
      <c r="P235" t="n">
        <v>124.8</v>
      </c>
      <c r="Q235" t="n">
        <v>4.6</v>
      </c>
      <c r="R235" t="n">
        <v>88</v>
      </c>
      <c r="S235">
        <f>IF(COUNTIF(Draft!$C$5:$C$196,$B235)&gt;0,1,0)</f>
        <v/>
      </c>
      <c r="T235">
        <f>IF($S235=0,"",IFERROR(INDEX(Draft!$B$5:$B$196,MATCH($B235,Draft!$C$5:$C$196,0)),""))</f>
        <v/>
      </c>
      <c r="U235" t="n">
        <v>0.71</v>
      </c>
      <c r="V235">
        <f>IF($S235=1,-9999,$U235-ROW()/100000)</f>
        <v/>
      </c>
      <c r="W235">
        <f>IF($S235=1,"",SUMPRODUCT(($D$2:$D$301=$D235)*($V$2:$V$301&gt;$V235))+1)</f>
        <v/>
      </c>
      <c r="X235">
        <f>IF($S235=1,"",$U235-IFERROR(INDEX(Scarcity!$D$5:$D$9,MATCH($D235,Scarcity!$A$5:$A$9,0)),0))</f>
        <v/>
      </c>
    </row>
    <row r="236">
      <c r="A236" t="n">
        <v>235</v>
      </c>
      <c r="B236" t="inlineStr">
        <is>
          <t>Bowen Byram</t>
        </is>
      </c>
      <c r="C236" t="inlineStr">
        <is>
          <t>CHI</t>
        </is>
      </c>
      <c r="D236" t="inlineStr">
        <is>
          <t>D</t>
        </is>
      </c>
      <c r="E236" t="inlineStr">
        <is>
          <t>D1</t>
        </is>
      </c>
      <c r="F236" t="inlineStr">
        <is>
          <t>PP2</t>
        </is>
      </c>
      <c r="G236" t="n">
        <v>21.9</v>
      </c>
      <c r="H236" t="n">
        <v>76</v>
      </c>
      <c r="I236" t="n">
        <v>1</v>
      </c>
      <c r="J236" t="n">
        <v>2</v>
      </c>
      <c r="K236" t="n">
        <v>64.8</v>
      </c>
      <c r="L236" t="n">
        <v>29.8</v>
      </c>
      <c r="M236" t="n">
        <v>10</v>
      </c>
      <c r="N236" t="n">
        <v>29.2</v>
      </c>
      <c r="O236" t="n">
        <v>5.4</v>
      </c>
      <c r="P236" t="n">
        <v>97.8</v>
      </c>
      <c r="Q236" t="n">
        <v>58.4</v>
      </c>
      <c r="R236" t="n">
        <v>94.40000000000001</v>
      </c>
      <c r="S236">
        <f>IF(COUNTIF(Draft!$C$5:$C$196,$B236)&gt;0,1,0)</f>
        <v/>
      </c>
      <c r="T236">
        <f>IF($S236=0,"",IFERROR(INDEX(Draft!$B$5:$B$196,MATCH($B236,Draft!$C$5:$C$196,0)),""))</f>
        <v/>
      </c>
      <c r="U236" t="n">
        <v>0.6899999999999999</v>
      </c>
      <c r="V236">
        <f>IF($S236=1,-9999,$U236-ROW()/100000)</f>
        <v/>
      </c>
      <c r="W236">
        <f>IF($S236=1,"",SUMPRODUCT(($D$2:$D$301=$D236)*($V$2:$V$301&gt;$V236))+1)</f>
        <v/>
      </c>
      <c r="X236">
        <f>IF($S236=1,"",$U236-IFERROR(INDEX(Scarcity!$D$5:$D$9,MATCH($D236,Scarcity!$A$5:$A$9,0)),0))</f>
        <v/>
      </c>
    </row>
    <row r="237">
      <c r="A237" t="n">
        <v>236</v>
      </c>
      <c r="B237" t="inlineStr">
        <is>
          <t>Ross Colton</t>
        </is>
      </c>
      <c r="C237" t="inlineStr">
        <is>
          <t>NSH</t>
        </is>
      </c>
      <c r="D237" t="inlineStr">
        <is>
          <t>C</t>
        </is>
      </c>
      <c r="E237" t="inlineStr">
        <is>
          <t>L4</t>
        </is>
      </c>
      <c r="F237" t="inlineStr">
        <is>
          <t>PP2</t>
        </is>
      </c>
      <c r="G237" t="n">
        <v>11.6</v>
      </c>
      <c r="H237" t="n">
        <v>73</v>
      </c>
      <c r="I237" t="n">
        <v>4</v>
      </c>
      <c r="K237" t="n">
        <v>52.5</v>
      </c>
      <c r="L237" t="n">
        <v>17.9</v>
      </c>
      <c r="M237" t="n">
        <v>13</v>
      </c>
      <c r="N237" t="n">
        <v>14.7</v>
      </c>
      <c r="O237" t="n">
        <v>2.6</v>
      </c>
      <c r="P237" t="n">
        <v>140.3</v>
      </c>
      <c r="Q237" t="n">
        <v>156.9</v>
      </c>
      <c r="R237" t="n">
        <v>31.6</v>
      </c>
      <c r="S237">
        <f>IF(COUNTIF(Draft!$C$5:$C$196,$B237)&gt;0,1,0)</f>
        <v/>
      </c>
      <c r="T237">
        <f>IF($S237=0,"",IFERROR(INDEX(Draft!$B$5:$B$196,MATCH($B237,Draft!$C$5:$C$196,0)),""))</f>
        <v/>
      </c>
      <c r="U237" t="n">
        <v>0.6899999999999999</v>
      </c>
      <c r="V237">
        <f>IF($S237=1,-9999,$U237-ROW()/100000)</f>
        <v/>
      </c>
      <c r="W237">
        <f>IF($S237=1,"",SUMPRODUCT(($D$2:$D$301=$D237)*($V$2:$V$301&gt;$V237))+1)</f>
        <v/>
      </c>
      <c r="X237">
        <f>IF($S237=1,"",$U237-IFERROR(INDEX(Scarcity!$D$5:$D$9,MATCH($D237,Scarcity!$A$5:$A$9,0)),0))</f>
        <v/>
      </c>
    </row>
    <row r="238">
      <c r="A238" t="n">
        <v>237</v>
      </c>
      <c r="B238" t="inlineStr">
        <is>
          <t>Adam Klapka</t>
        </is>
      </c>
      <c r="C238" t="inlineStr">
        <is>
          <t>CGY</t>
        </is>
      </c>
      <c r="D238" t="inlineStr">
        <is>
          <t>R</t>
        </is>
      </c>
      <c r="E238" t="inlineStr">
        <is>
          <t>L3</t>
        </is>
      </c>
      <c r="F238" t="inlineStr"/>
      <c r="G238" t="n">
        <v>12.1</v>
      </c>
      <c r="H238" t="n">
        <v>71</v>
      </c>
      <c r="I238" t="n">
        <v>3</v>
      </c>
      <c r="K238" t="n">
        <v>30.3</v>
      </c>
      <c r="L238" t="n">
        <v>26.2</v>
      </c>
      <c r="M238" t="n">
        <v>6.6</v>
      </c>
      <c r="N238" t="n">
        <v>9.4</v>
      </c>
      <c r="O238" t="n">
        <v>1.2</v>
      </c>
      <c r="P238" t="n">
        <v>75.5</v>
      </c>
      <c r="Q238" t="n">
        <v>256.9</v>
      </c>
      <c r="R238" t="n">
        <v>45.1</v>
      </c>
      <c r="S238">
        <f>IF(COUNTIF(Draft!$C$5:$C$196,$B238)&gt;0,1,0)</f>
        <v/>
      </c>
      <c r="T238">
        <f>IF($S238=0,"",IFERROR(INDEX(Draft!$B$5:$B$196,MATCH($B238,Draft!$C$5:$C$196,0)),""))</f>
        <v/>
      </c>
      <c r="U238" t="n">
        <v>0.6899999999999999</v>
      </c>
      <c r="V238">
        <f>IF($S238=1,-9999,$U238-ROW()/100000)</f>
        <v/>
      </c>
      <c r="W238">
        <f>IF($S238=1,"",SUMPRODUCT(($D$2:$D$301=$D238)*($V$2:$V$301&gt;$V238))+1)</f>
        <v/>
      </c>
      <c r="X238">
        <f>IF($S238=1,"",$U238-IFERROR(INDEX(Scarcity!$D$5:$D$9,MATCH($D238,Scarcity!$A$5:$A$9,0)),0))</f>
        <v/>
      </c>
    </row>
    <row r="239">
      <c r="A239" t="n">
        <v>238</v>
      </c>
      <c r="B239" t="inlineStr">
        <is>
          <t>Porter Martone</t>
        </is>
      </c>
      <c r="C239" t="inlineStr">
        <is>
          <t>PHI</t>
        </is>
      </c>
      <c r="D239" t="inlineStr">
        <is>
          <t>R</t>
        </is>
      </c>
      <c r="E239" t="inlineStr">
        <is>
          <t>L4</t>
        </is>
      </c>
      <c r="F239" t="inlineStr">
        <is>
          <t>PP1</t>
        </is>
      </c>
      <c r="G239" t="n">
        <v>14.1</v>
      </c>
      <c r="H239" t="n">
        <v>55</v>
      </c>
      <c r="I239" t="n">
        <v>4</v>
      </c>
      <c r="K239" t="n">
        <v>49.5</v>
      </c>
      <c r="L239" t="n">
        <v>31</v>
      </c>
      <c r="M239" t="n">
        <v>15</v>
      </c>
      <c r="N239" t="n">
        <v>15</v>
      </c>
      <c r="O239" t="n">
        <v>10</v>
      </c>
      <c r="P239" t="n">
        <v>130</v>
      </c>
      <c r="Q239" t="n">
        <v>116</v>
      </c>
      <c r="R239" t="n">
        <v>30</v>
      </c>
      <c r="S239">
        <f>IF(COUNTIF(Draft!$C$5:$C$196,$B239)&gt;0,1,0)</f>
        <v/>
      </c>
      <c r="T239">
        <f>IF($S239=0,"",IFERROR(INDEX(Draft!$B$5:$B$196,MATCH($B239,Draft!$C$5:$C$196,0)),""))</f>
        <v/>
      </c>
      <c r="U239" t="n">
        <v>0.68</v>
      </c>
      <c r="V239">
        <f>IF($S239=1,-9999,$U239-ROW()/100000)</f>
        <v/>
      </c>
      <c r="W239">
        <f>IF($S239=1,"",SUMPRODUCT(($D$2:$D$301=$D239)*($V$2:$V$301&gt;$V239))+1)</f>
        <v/>
      </c>
      <c r="X239">
        <f>IF($S239=1,"",$U239-IFERROR(INDEX(Scarcity!$D$5:$D$9,MATCH($D239,Scarcity!$A$5:$A$9,0)),0))</f>
        <v/>
      </c>
    </row>
    <row r="240">
      <c r="A240" t="n">
        <v>239</v>
      </c>
      <c r="B240" t="inlineStr">
        <is>
          <t>Jake Walman</t>
        </is>
      </c>
      <c r="C240" t="inlineStr">
        <is>
          <t>EDM</t>
        </is>
      </c>
      <c r="D240" t="inlineStr">
        <is>
          <t>D</t>
        </is>
      </c>
      <c r="E240" t="inlineStr">
        <is>
          <t>D2</t>
        </is>
      </c>
      <c r="F240" t="inlineStr">
        <is>
          <t>PP2</t>
        </is>
      </c>
      <c r="G240" t="n">
        <v>18.5</v>
      </c>
      <c r="H240" t="n">
        <v>69</v>
      </c>
      <c r="I240" t="n">
        <v>2</v>
      </c>
      <c r="J240" t="n">
        <v>3</v>
      </c>
      <c r="K240" t="n">
        <v>50.3</v>
      </c>
      <c r="L240" t="n">
        <v>32.1</v>
      </c>
      <c r="M240" t="n">
        <v>8</v>
      </c>
      <c r="N240" t="n">
        <v>18.5</v>
      </c>
      <c r="O240" t="n">
        <v>4.1</v>
      </c>
      <c r="P240" t="n">
        <v>129.4</v>
      </c>
      <c r="Q240" t="n">
        <v>34.4</v>
      </c>
      <c r="R240" t="n">
        <v>127.6</v>
      </c>
      <c r="S240">
        <f>IF(COUNTIF(Draft!$C$5:$C$196,$B240)&gt;0,1,0)</f>
        <v/>
      </c>
      <c r="T240">
        <f>IF($S240=0,"",IFERROR(INDEX(Draft!$B$5:$B$196,MATCH($B240,Draft!$C$5:$C$196,0)),""))</f>
        <v/>
      </c>
      <c r="U240" t="n">
        <v>0.68</v>
      </c>
      <c r="V240">
        <f>IF($S240=1,-9999,$U240-ROW()/100000)</f>
        <v/>
      </c>
      <c r="W240">
        <f>IF($S240=1,"",SUMPRODUCT(($D$2:$D$301=$D240)*($V$2:$V$301&gt;$V240))+1)</f>
        <v/>
      </c>
      <c r="X240">
        <f>IF($S240=1,"",$U240-IFERROR(INDEX(Scarcity!$D$5:$D$9,MATCH($D240,Scarcity!$A$5:$A$9,0)),0))</f>
        <v/>
      </c>
    </row>
    <row r="241">
      <c r="A241" t="n">
        <v>240</v>
      </c>
      <c r="B241" t="inlineStr">
        <is>
          <t>Frank Nazar</t>
        </is>
      </c>
      <c r="C241" t="inlineStr">
        <is>
          <t>CHI</t>
        </is>
      </c>
      <c r="D241" t="inlineStr">
        <is>
          <t>C</t>
        </is>
      </c>
      <c r="E241" t="inlineStr">
        <is>
          <t>L2</t>
        </is>
      </c>
      <c r="F241" t="inlineStr">
        <is>
          <t>PP2</t>
        </is>
      </c>
      <c r="G241" t="n">
        <v>16.8</v>
      </c>
      <c r="H241" t="n">
        <v>63</v>
      </c>
      <c r="I241" t="n">
        <v>2</v>
      </c>
      <c r="J241" t="n">
        <v>2</v>
      </c>
      <c r="K241" t="n">
        <v>70.59999999999999</v>
      </c>
      <c r="L241" t="n">
        <v>29.8</v>
      </c>
      <c r="M241" t="n">
        <v>17.2</v>
      </c>
      <c r="N241" t="n">
        <v>25.6</v>
      </c>
      <c r="O241" t="n">
        <v>12.4</v>
      </c>
      <c r="P241" t="n">
        <v>135.1</v>
      </c>
      <c r="Q241" t="n">
        <v>36.8</v>
      </c>
      <c r="R241" t="n">
        <v>39.7</v>
      </c>
      <c r="S241">
        <f>IF(COUNTIF(Draft!$C$5:$C$196,$B241)&gt;0,1,0)</f>
        <v/>
      </c>
      <c r="T241">
        <f>IF($S241=0,"",IFERROR(INDEX(Draft!$B$5:$B$196,MATCH($B241,Draft!$C$5:$C$196,0)),""))</f>
        <v/>
      </c>
      <c r="U241" t="n">
        <v>0.66</v>
      </c>
      <c r="V241">
        <f>IF($S241=1,-9999,$U241-ROW()/100000)</f>
        <v/>
      </c>
      <c r="W241">
        <f>IF($S241=1,"",SUMPRODUCT(($D$2:$D$301=$D241)*($V$2:$V$301&gt;$V241))+1)</f>
        <v/>
      </c>
      <c r="X241">
        <f>IF($S241=1,"",$U241-IFERROR(INDEX(Scarcity!$D$5:$D$9,MATCH($D241,Scarcity!$A$5:$A$9,0)),0))</f>
        <v/>
      </c>
    </row>
    <row r="242">
      <c r="A242" t="n">
        <v>241</v>
      </c>
      <c r="B242" t="inlineStr">
        <is>
          <t>Kyle Palmieri</t>
        </is>
      </c>
      <c r="C242" t="inlineStr">
        <is>
          <t>NYI</t>
        </is>
      </c>
      <c r="D242" t="inlineStr">
        <is>
          <t>C</t>
        </is>
      </c>
      <c r="E242" t="inlineStr">
        <is>
          <t>L1</t>
        </is>
      </c>
      <c r="F242" t="inlineStr">
        <is>
          <t>PP1</t>
        </is>
      </c>
      <c r="G242" t="n">
        <v>18.2</v>
      </c>
      <c r="H242" t="n">
        <v>65</v>
      </c>
      <c r="I242" t="n">
        <v>1</v>
      </c>
      <c r="J242" t="n">
        <v>2</v>
      </c>
      <c r="K242" t="n">
        <v>68.5</v>
      </c>
      <c r="L242" t="n">
        <v>22.6</v>
      </c>
      <c r="M242" t="n">
        <v>19.1</v>
      </c>
      <c r="N242" t="n">
        <v>22.5</v>
      </c>
      <c r="O242" t="n">
        <v>10.3</v>
      </c>
      <c r="P242" t="n">
        <v>145.2</v>
      </c>
      <c r="Q242" t="n">
        <v>50.4</v>
      </c>
      <c r="R242" t="n">
        <v>30.5</v>
      </c>
      <c r="S242">
        <f>IF(COUNTIF(Draft!$C$5:$C$196,$B242)&gt;0,1,0)</f>
        <v/>
      </c>
      <c r="T242">
        <f>IF($S242=0,"",IFERROR(INDEX(Draft!$B$5:$B$196,MATCH($B242,Draft!$C$5:$C$196,0)),""))</f>
        <v/>
      </c>
      <c r="U242" t="n">
        <v>0.62</v>
      </c>
      <c r="V242">
        <f>IF($S242=1,-9999,$U242-ROW()/100000)</f>
        <v/>
      </c>
      <c r="W242">
        <f>IF($S242=1,"",SUMPRODUCT(($D$2:$D$301=$D242)*($V$2:$V$301&gt;$V242))+1)</f>
        <v/>
      </c>
      <c r="X242">
        <f>IF($S242=1,"",$U242-IFERROR(INDEX(Scarcity!$D$5:$D$9,MATCH($D242,Scarcity!$A$5:$A$9,0)),0))</f>
        <v/>
      </c>
    </row>
    <row r="243">
      <c r="A243" t="n">
        <v>242</v>
      </c>
      <c r="B243" t="inlineStr">
        <is>
          <t>Mattias Ekholm</t>
        </is>
      </c>
      <c r="C243" t="inlineStr">
        <is>
          <t>EDM</t>
        </is>
      </c>
      <c r="D243" t="inlineStr">
        <is>
          <t>D</t>
        </is>
      </c>
      <c r="E243" t="inlineStr">
        <is>
          <t>D1</t>
        </is>
      </c>
      <c r="F243" t="inlineStr">
        <is>
          <t>PP2</t>
        </is>
      </c>
      <c r="G243" t="n">
        <v>20.3</v>
      </c>
      <c r="H243" t="n">
        <v>71</v>
      </c>
      <c r="I243" t="n">
        <v>1</v>
      </c>
      <c r="J243" t="n">
        <v>2</v>
      </c>
      <c r="K243" t="n">
        <v>56.8</v>
      </c>
      <c r="L243" t="n">
        <v>32.1</v>
      </c>
      <c r="M243" t="n">
        <v>6.9</v>
      </c>
      <c r="N243" t="n">
        <v>27.6</v>
      </c>
      <c r="O243" t="n">
        <v>3.5</v>
      </c>
      <c r="P243" t="n">
        <v>116.2</v>
      </c>
      <c r="Q243" t="n">
        <v>59.1</v>
      </c>
      <c r="R243" t="n">
        <v>101.9</v>
      </c>
      <c r="S243">
        <f>IF(COUNTIF(Draft!$C$5:$C$196,$B243)&gt;0,1,0)</f>
        <v/>
      </c>
      <c r="T243">
        <f>IF($S243=0,"",IFERROR(INDEX(Draft!$B$5:$B$196,MATCH($B243,Draft!$C$5:$C$196,0)),""))</f>
        <v/>
      </c>
      <c r="U243" t="n">
        <v>0.62</v>
      </c>
      <c r="V243">
        <f>IF($S243=1,-9999,$U243-ROW()/100000)</f>
        <v/>
      </c>
      <c r="W243">
        <f>IF($S243=1,"",SUMPRODUCT(($D$2:$D$301=$D243)*($V$2:$V$301&gt;$V243))+1)</f>
        <v/>
      </c>
      <c r="X243">
        <f>IF($S243=1,"",$U243-IFERROR(INDEX(Scarcity!$D$5:$D$9,MATCH($D243,Scarcity!$A$5:$A$9,0)),0))</f>
        <v/>
      </c>
    </row>
    <row r="244">
      <c r="A244" t="n">
        <v>243</v>
      </c>
      <c r="B244" t="inlineStr">
        <is>
          <t>Esa Lindell</t>
        </is>
      </c>
      <c r="C244" t="inlineStr">
        <is>
          <t>DAL</t>
        </is>
      </c>
      <c r="D244" t="inlineStr">
        <is>
          <t>D</t>
        </is>
      </c>
      <c r="E244" t="inlineStr">
        <is>
          <t>D1</t>
        </is>
      </c>
      <c r="F244" t="inlineStr"/>
      <c r="G244" t="n">
        <v>22.1</v>
      </c>
      <c r="H244" t="n">
        <v>80</v>
      </c>
      <c r="I244" t="n">
        <v>1</v>
      </c>
      <c r="J244" t="n">
        <v>1</v>
      </c>
      <c r="K244" t="n">
        <v>50.3</v>
      </c>
      <c r="L244" t="n">
        <v>31</v>
      </c>
      <c r="M244" t="n">
        <v>4.8</v>
      </c>
      <c r="N244" t="n">
        <v>21.6</v>
      </c>
      <c r="O244" t="n">
        <v>1.4</v>
      </c>
      <c r="P244" t="n">
        <v>83.3</v>
      </c>
      <c r="Q244" t="n">
        <v>39.3</v>
      </c>
      <c r="R244" t="n">
        <v>166</v>
      </c>
      <c r="S244">
        <f>IF(COUNTIF(Draft!$C$5:$C$196,$B244)&gt;0,1,0)</f>
        <v/>
      </c>
      <c r="T244">
        <f>IF($S244=0,"",IFERROR(INDEX(Draft!$B$5:$B$196,MATCH($B244,Draft!$C$5:$C$196,0)),""))</f>
        <v/>
      </c>
      <c r="U244" t="n">
        <v>0.62</v>
      </c>
      <c r="V244">
        <f>IF($S244=1,-9999,$U244-ROW()/100000)</f>
        <v/>
      </c>
      <c r="W244">
        <f>IF($S244=1,"",SUMPRODUCT(($D$2:$D$301=$D244)*($V$2:$V$301&gt;$V244))+1)</f>
        <v/>
      </c>
      <c r="X244">
        <f>IF($S244=1,"",$U244-IFERROR(INDEX(Scarcity!$D$5:$D$9,MATCH($D244,Scarcity!$A$5:$A$9,0)),0))</f>
        <v/>
      </c>
    </row>
    <row r="245">
      <c r="A245" t="n">
        <v>244</v>
      </c>
      <c r="B245" t="inlineStr">
        <is>
          <t>Ridly Greig</t>
        </is>
      </c>
      <c r="C245" t="inlineStr">
        <is>
          <t>OTT</t>
        </is>
      </c>
      <c r="D245" t="inlineStr">
        <is>
          <t>C</t>
        </is>
      </c>
      <c r="E245" t="inlineStr">
        <is>
          <t>L3</t>
        </is>
      </c>
      <c r="F245" t="inlineStr"/>
      <c r="G245" t="n">
        <v>15</v>
      </c>
      <c r="H245" t="n">
        <v>74</v>
      </c>
      <c r="I245" t="n">
        <v>3</v>
      </c>
      <c r="J245" t="n">
        <v>1</v>
      </c>
      <c r="K245" t="n">
        <v>59.1</v>
      </c>
      <c r="L245" t="n">
        <v>26.2</v>
      </c>
      <c r="M245" t="n">
        <v>14.3</v>
      </c>
      <c r="N245" t="n">
        <v>21.5</v>
      </c>
      <c r="O245" t="n">
        <v>4.9</v>
      </c>
      <c r="P245" t="n">
        <v>122.2</v>
      </c>
      <c r="Q245" t="n">
        <v>105.7</v>
      </c>
      <c r="R245" t="n">
        <v>46.9</v>
      </c>
      <c r="S245">
        <f>IF(COUNTIF(Draft!$C$5:$C$196,$B245)&gt;0,1,0)</f>
        <v/>
      </c>
      <c r="T245">
        <f>IF($S245=0,"",IFERROR(INDEX(Draft!$B$5:$B$196,MATCH($B245,Draft!$C$5:$C$196,0)),""))</f>
        <v/>
      </c>
      <c r="U245" t="n">
        <v>0.61</v>
      </c>
      <c r="V245">
        <f>IF($S245=1,-9999,$U245-ROW()/100000)</f>
        <v/>
      </c>
      <c r="W245">
        <f>IF($S245=1,"",SUMPRODUCT(($D$2:$D$301=$D245)*($V$2:$V$301&gt;$V245))+1)</f>
        <v/>
      </c>
      <c r="X245">
        <f>IF($S245=1,"",$U245-IFERROR(INDEX(Scarcity!$D$5:$D$9,MATCH($D245,Scarcity!$A$5:$A$9,0)),0))</f>
        <v/>
      </c>
    </row>
    <row r="246">
      <c r="A246" t="n">
        <v>245</v>
      </c>
      <c r="B246" t="inlineStr">
        <is>
          <t>Caleb Desnoyers</t>
        </is>
      </c>
      <c r="C246" t="inlineStr">
        <is>
          <t>UTA</t>
        </is>
      </c>
      <c r="D246" t="inlineStr">
        <is>
          <t>C</t>
        </is>
      </c>
      <c r="E246" t="inlineStr"/>
      <c r="F246" t="inlineStr"/>
      <c r="H246" t="n">
        <v>64</v>
      </c>
      <c r="K246" t="n">
        <v>64.3</v>
      </c>
      <c r="L246" t="n">
        <v>34.5</v>
      </c>
      <c r="M246" t="n">
        <v>11</v>
      </c>
      <c r="N246" t="n">
        <v>28</v>
      </c>
      <c r="O246" t="n">
        <v>5</v>
      </c>
      <c r="P246" t="n">
        <v>141</v>
      </c>
      <c r="Q246" t="n">
        <v>100</v>
      </c>
      <c r="R246" t="n">
        <v>35</v>
      </c>
      <c r="S246">
        <f>IF(COUNTIF(Draft!$C$5:$C$196,$B246)&gt;0,1,0)</f>
        <v/>
      </c>
      <c r="T246">
        <f>IF($S246=0,"",IFERROR(INDEX(Draft!$B$5:$B$196,MATCH($B246,Draft!$C$5:$C$196,0)),""))</f>
        <v/>
      </c>
      <c r="U246" t="n">
        <v>0.6</v>
      </c>
      <c r="V246">
        <f>IF($S246=1,-9999,$U246-ROW()/100000)</f>
        <v/>
      </c>
      <c r="W246">
        <f>IF($S246=1,"",SUMPRODUCT(($D$2:$D$301=$D246)*($V$2:$V$301&gt;$V246))+1)</f>
        <v/>
      </c>
      <c r="X246">
        <f>IF($S246=1,"",$U246-IFERROR(INDEX(Scarcity!$D$5:$D$9,MATCH($D246,Scarcity!$A$5:$A$9,0)),0))</f>
        <v/>
      </c>
    </row>
    <row r="247">
      <c r="A247" t="n">
        <v>246</v>
      </c>
      <c r="B247" t="inlineStr">
        <is>
          <t>Claude Giroux</t>
        </is>
      </c>
      <c r="C247" t="inlineStr">
        <is>
          <t>OTT</t>
        </is>
      </c>
      <c r="D247" t="inlineStr">
        <is>
          <t>R</t>
        </is>
      </c>
      <c r="E247" t="inlineStr">
        <is>
          <t>L3</t>
        </is>
      </c>
      <c r="F247" t="inlineStr">
        <is>
          <t>PP2</t>
        </is>
      </c>
      <c r="G247" t="n">
        <v>15.6</v>
      </c>
      <c r="H247" t="n">
        <v>71</v>
      </c>
      <c r="I247" t="n">
        <v>3</v>
      </c>
      <c r="J247" t="n">
        <v>2</v>
      </c>
      <c r="K247" t="n">
        <v>76.2</v>
      </c>
      <c r="L247" t="n">
        <v>26.2</v>
      </c>
      <c r="M247" t="n">
        <v>14.2</v>
      </c>
      <c r="N247" t="n">
        <v>32.1</v>
      </c>
      <c r="O247" t="n">
        <v>13.3</v>
      </c>
      <c r="P247" t="n">
        <v>122.2</v>
      </c>
      <c r="Q247" t="n">
        <v>53.5</v>
      </c>
      <c r="R247" t="n">
        <v>26.1</v>
      </c>
      <c r="S247">
        <f>IF(COUNTIF(Draft!$C$5:$C$196,$B247)&gt;0,1,0)</f>
        <v/>
      </c>
      <c r="T247">
        <f>IF($S247=0,"",IFERROR(INDEX(Draft!$B$5:$B$196,MATCH($B247,Draft!$C$5:$C$196,0)),""))</f>
        <v/>
      </c>
      <c r="U247" t="n">
        <v>0.59</v>
      </c>
      <c r="V247">
        <f>IF($S247=1,-9999,$U247-ROW()/100000)</f>
        <v/>
      </c>
      <c r="W247">
        <f>IF($S247=1,"",SUMPRODUCT(($D$2:$D$301=$D247)*($V$2:$V$301&gt;$V247))+1)</f>
        <v/>
      </c>
      <c r="X247">
        <f>IF($S247=1,"",$U247-IFERROR(INDEX(Scarcity!$D$5:$D$9,MATCH($D247,Scarcity!$A$5:$A$9,0)),0))</f>
        <v/>
      </c>
    </row>
    <row r="248">
      <c r="A248" t="n">
        <v>247</v>
      </c>
      <c r="B248" t="inlineStr">
        <is>
          <t>Brayden McNabb</t>
        </is>
      </c>
      <c r="C248" t="inlineStr">
        <is>
          <t>VGK</t>
        </is>
      </c>
      <c r="D248" t="inlineStr">
        <is>
          <t>D</t>
        </is>
      </c>
      <c r="E248" t="inlineStr">
        <is>
          <t>D2</t>
        </is>
      </c>
      <c r="F248" t="inlineStr"/>
      <c r="G248" t="n">
        <v>19.5</v>
      </c>
      <c r="H248" t="n">
        <v>72</v>
      </c>
      <c r="I248" t="n">
        <v>2</v>
      </c>
      <c r="J248" t="n">
        <v>1</v>
      </c>
      <c r="K248" t="n">
        <v>22.8</v>
      </c>
      <c r="L248" t="n">
        <v>28.6</v>
      </c>
      <c r="M248" t="n">
        <v>3</v>
      </c>
      <c r="N248" t="n">
        <v>6.7</v>
      </c>
      <c r="O248" t="n">
        <v>0.1</v>
      </c>
      <c r="P248" t="n">
        <v>81.09999999999999</v>
      </c>
      <c r="Q248" t="n">
        <v>122.1</v>
      </c>
      <c r="R248" t="n">
        <v>154.5</v>
      </c>
      <c r="S248">
        <f>IF(COUNTIF(Draft!$C$5:$C$196,$B248)&gt;0,1,0)</f>
        <v/>
      </c>
      <c r="T248">
        <f>IF($S248=0,"",IFERROR(INDEX(Draft!$B$5:$B$196,MATCH($B248,Draft!$C$5:$C$196,0)),""))</f>
        <v/>
      </c>
      <c r="U248" t="n">
        <v>0.5600000000000001</v>
      </c>
      <c r="V248">
        <f>IF($S248=1,-9999,$U248-ROW()/100000)</f>
        <v/>
      </c>
      <c r="W248">
        <f>IF($S248=1,"",SUMPRODUCT(($D$2:$D$301=$D248)*($V$2:$V$301&gt;$V248))+1)</f>
        <v/>
      </c>
      <c r="X248">
        <f>IF($S248=1,"",$U248-IFERROR(INDEX(Scarcity!$D$5:$D$9,MATCH($D248,Scarcity!$A$5:$A$9,0)),0))</f>
        <v/>
      </c>
    </row>
    <row r="249">
      <c r="A249" t="n">
        <v>248</v>
      </c>
      <c r="B249" t="inlineStr">
        <is>
          <t>Artturi Lehkonen</t>
        </is>
      </c>
      <c r="C249" t="inlineStr">
        <is>
          <t>COL</t>
        </is>
      </c>
      <c r="D249" t="inlineStr">
        <is>
          <t>L</t>
        </is>
      </c>
      <c r="E249" t="inlineStr">
        <is>
          <t>L1</t>
        </is>
      </c>
      <c r="F249" t="inlineStr">
        <is>
          <t>PP2</t>
        </is>
      </c>
      <c r="G249" t="n">
        <v>18.8</v>
      </c>
      <c r="H249" t="n">
        <v>70</v>
      </c>
      <c r="I249" t="n">
        <v>1</v>
      </c>
      <c r="J249" t="n">
        <v>2</v>
      </c>
      <c r="K249" t="n">
        <v>69.90000000000001</v>
      </c>
      <c r="L249" t="n">
        <v>35.7</v>
      </c>
      <c r="M249" t="n">
        <v>23</v>
      </c>
      <c r="N249" t="n">
        <v>24.9</v>
      </c>
      <c r="O249" t="n">
        <v>4.5</v>
      </c>
      <c r="P249" t="n">
        <v>143</v>
      </c>
      <c r="Q249" t="n">
        <v>45.6</v>
      </c>
      <c r="R249" t="n">
        <v>34.4</v>
      </c>
      <c r="S249">
        <f>IF(COUNTIF(Draft!$C$5:$C$196,$B249)&gt;0,1,0)</f>
        <v/>
      </c>
      <c r="T249">
        <f>IF($S249=0,"",IFERROR(INDEX(Draft!$B$5:$B$196,MATCH($B249,Draft!$C$5:$C$196,0)),""))</f>
        <v/>
      </c>
      <c r="U249" t="n">
        <v>0.54</v>
      </c>
      <c r="V249">
        <f>IF($S249=1,-9999,$U249-ROW()/100000)</f>
        <v/>
      </c>
      <c r="W249">
        <f>IF($S249=1,"",SUMPRODUCT(($D$2:$D$301=$D249)*($V$2:$V$301&gt;$V249))+1)</f>
        <v/>
      </c>
      <c r="X249">
        <f>IF($S249=1,"",$U249-IFERROR(INDEX(Scarcity!$D$5:$D$9,MATCH($D249,Scarcity!$A$5:$A$9,0)),0))</f>
        <v/>
      </c>
    </row>
    <row r="250">
      <c r="A250" t="n">
        <v>249</v>
      </c>
      <c r="B250" t="inlineStr">
        <is>
          <t>Fraser Minten</t>
        </is>
      </c>
      <c r="C250" t="inlineStr">
        <is>
          <t>BOS</t>
        </is>
      </c>
      <c r="D250" t="inlineStr">
        <is>
          <t>C</t>
        </is>
      </c>
      <c r="E250" t="inlineStr">
        <is>
          <t>L3</t>
        </is>
      </c>
      <c r="F250" t="inlineStr"/>
      <c r="G250" t="n">
        <v>14.3</v>
      </c>
      <c r="H250" t="n">
        <v>72</v>
      </c>
      <c r="I250" t="n">
        <v>3</v>
      </c>
      <c r="J250" t="n">
        <v>2</v>
      </c>
      <c r="K250" t="n">
        <v>56.5</v>
      </c>
      <c r="L250" t="n">
        <v>28.6</v>
      </c>
      <c r="M250" t="n">
        <v>16.3</v>
      </c>
      <c r="N250" t="n">
        <v>18</v>
      </c>
      <c r="O250" t="n">
        <v>2.8</v>
      </c>
      <c r="P250" t="n">
        <v>114.9</v>
      </c>
      <c r="Q250" t="n">
        <v>127.2</v>
      </c>
      <c r="R250" t="n">
        <v>42.5</v>
      </c>
      <c r="S250">
        <f>IF(COUNTIF(Draft!$C$5:$C$196,$B250)&gt;0,1,0)</f>
        <v/>
      </c>
      <c r="T250">
        <f>IF($S250=0,"",IFERROR(INDEX(Draft!$B$5:$B$196,MATCH($B250,Draft!$C$5:$C$196,0)),""))</f>
        <v/>
      </c>
      <c r="U250" t="n">
        <v>0.52</v>
      </c>
      <c r="V250">
        <f>IF($S250=1,-9999,$U250-ROW()/100000)</f>
        <v/>
      </c>
      <c r="W250">
        <f>IF($S250=1,"",SUMPRODUCT(($D$2:$D$301=$D250)*($V$2:$V$301&gt;$V250))+1)</f>
        <v/>
      </c>
      <c r="X250">
        <f>IF($S250=1,"",$U250-IFERROR(INDEX(Scarcity!$D$5:$D$9,MATCH($D250,Scarcity!$A$5:$A$9,0)),0))</f>
        <v/>
      </c>
    </row>
    <row r="251">
      <c r="A251" t="n">
        <v>250</v>
      </c>
      <c r="B251" t="inlineStr">
        <is>
          <t>Chandler Stephenson</t>
        </is>
      </c>
      <c r="C251" t="inlineStr">
        <is>
          <t>SEA</t>
        </is>
      </c>
      <c r="D251" t="inlineStr">
        <is>
          <t>C</t>
        </is>
      </c>
      <c r="E251" t="inlineStr">
        <is>
          <t>L2</t>
        </is>
      </c>
      <c r="F251" t="inlineStr">
        <is>
          <t>PP1</t>
        </is>
      </c>
      <c r="G251" t="n">
        <v>18.2</v>
      </c>
      <c r="H251" t="n">
        <v>79</v>
      </c>
      <c r="I251" t="n">
        <v>2</v>
      </c>
      <c r="J251" t="n">
        <v>1</v>
      </c>
      <c r="K251" t="n">
        <v>70</v>
      </c>
      <c r="L251" t="n">
        <v>27.4</v>
      </c>
      <c r="M251" t="n">
        <v>13.5</v>
      </c>
      <c r="N251" t="n">
        <v>34.5</v>
      </c>
      <c r="O251" t="n">
        <v>16.2</v>
      </c>
      <c r="P251" t="n">
        <v>84</v>
      </c>
      <c r="Q251" t="n">
        <v>27</v>
      </c>
      <c r="R251" t="n">
        <v>51.7</v>
      </c>
      <c r="S251">
        <f>IF(COUNTIF(Draft!$C$5:$C$196,$B251)&gt;0,1,0)</f>
        <v/>
      </c>
      <c r="T251">
        <f>IF($S251=0,"",IFERROR(INDEX(Draft!$B$5:$B$196,MATCH($B251,Draft!$C$5:$C$196,0)),""))</f>
        <v/>
      </c>
      <c r="U251" t="n">
        <v>0.5</v>
      </c>
      <c r="V251">
        <f>IF($S251=1,-9999,$U251-ROW()/100000)</f>
        <v/>
      </c>
      <c r="W251">
        <f>IF($S251=1,"",SUMPRODUCT(($D$2:$D$301=$D251)*($V$2:$V$301&gt;$V251))+1)</f>
        <v/>
      </c>
      <c r="X251">
        <f>IF($S251=1,"",$U251-IFERROR(INDEX(Scarcity!$D$5:$D$9,MATCH($D251,Scarcity!$A$5:$A$9,0)),0))</f>
        <v/>
      </c>
    </row>
    <row r="252">
      <c r="A252" t="n">
        <v>251</v>
      </c>
      <c r="B252" t="inlineStr">
        <is>
          <t>Cole Sillinger</t>
        </is>
      </c>
      <c r="C252" t="inlineStr">
        <is>
          <t>CBJ</t>
        </is>
      </c>
      <c r="D252" t="inlineStr">
        <is>
          <t>C</t>
        </is>
      </c>
      <c r="E252" t="inlineStr">
        <is>
          <t>L3</t>
        </is>
      </c>
      <c r="F252" t="inlineStr"/>
      <c r="G252" t="n">
        <v>14.5</v>
      </c>
      <c r="H252" t="n">
        <v>76</v>
      </c>
      <c r="I252" t="n">
        <v>3</v>
      </c>
      <c r="J252" t="n">
        <v>3</v>
      </c>
      <c r="K252" t="n">
        <v>61.3</v>
      </c>
      <c r="L252" t="n">
        <v>20.2</v>
      </c>
      <c r="M252" t="n">
        <v>11.9</v>
      </c>
      <c r="N252" t="n">
        <v>25.2</v>
      </c>
      <c r="O252" t="n">
        <v>2.1</v>
      </c>
      <c r="P252" t="n">
        <v>141.3</v>
      </c>
      <c r="Q252" t="n">
        <v>103.1</v>
      </c>
      <c r="R252" t="n">
        <v>43.8</v>
      </c>
      <c r="S252">
        <f>IF(COUNTIF(Draft!$C$5:$C$196,$B252)&gt;0,1,0)</f>
        <v/>
      </c>
      <c r="T252">
        <f>IF($S252=0,"",IFERROR(INDEX(Draft!$B$5:$B$196,MATCH($B252,Draft!$C$5:$C$196,0)),""))</f>
        <v/>
      </c>
      <c r="U252" t="n">
        <v>0.5</v>
      </c>
      <c r="V252">
        <f>IF($S252=1,-9999,$U252-ROW()/100000)</f>
        <v/>
      </c>
      <c r="W252">
        <f>IF($S252=1,"",SUMPRODUCT(($D$2:$D$301=$D252)*($V$2:$V$301&gt;$V252))+1)</f>
        <v/>
      </c>
      <c r="X252">
        <f>IF($S252=1,"",$U252-IFERROR(INDEX(Scarcity!$D$5:$D$9,MATCH($D252,Scarcity!$A$5:$A$9,0)),0))</f>
        <v/>
      </c>
    </row>
    <row r="253">
      <c r="A253" t="n">
        <v>252</v>
      </c>
      <c r="B253" t="inlineStr">
        <is>
          <t>Ben Chiarot</t>
        </is>
      </c>
      <c r="C253" t="inlineStr">
        <is>
          <t>DET</t>
        </is>
      </c>
      <c r="D253" t="inlineStr">
        <is>
          <t>D</t>
        </is>
      </c>
      <c r="E253" t="inlineStr">
        <is>
          <t>D2</t>
        </is>
      </c>
      <c r="F253" t="inlineStr"/>
      <c r="G253" t="n">
        <v>20.4</v>
      </c>
      <c r="H253" t="n">
        <v>75</v>
      </c>
      <c r="I253" t="n">
        <v>2</v>
      </c>
      <c r="J253" t="n">
        <v>1</v>
      </c>
      <c r="K253" t="n">
        <v>17.3</v>
      </c>
      <c r="L253" t="n">
        <v>28.6</v>
      </c>
      <c r="M253" t="n">
        <v>2.2</v>
      </c>
      <c r="N253" t="n">
        <v>5.1</v>
      </c>
      <c r="O253" t="n">
        <v>0.1</v>
      </c>
      <c r="P253" t="n">
        <v>88.7</v>
      </c>
      <c r="Q253" t="n">
        <v>142.2</v>
      </c>
      <c r="R253" t="n">
        <v>139.6</v>
      </c>
      <c r="S253">
        <f>IF(COUNTIF(Draft!$C$5:$C$196,$B253)&gt;0,1,0)</f>
        <v/>
      </c>
      <c r="T253">
        <f>IF($S253=0,"",IFERROR(INDEX(Draft!$B$5:$B$196,MATCH($B253,Draft!$C$5:$C$196,0)),""))</f>
        <v/>
      </c>
      <c r="U253" t="n">
        <v>0.5</v>
      </c>
      <c r="V253">
        <f>IF($S253=1,-9999,$U253-ROW()/100000)</f>
        <v/>
      </c>
      <c r="W253">
        <f>IF($S253=1,"",SUMPRODUCT(($D$2:$D$301=$D253)*($V$2:$V$301&gt;$V253))+1)</f>
        <v/>
      </c>
      <c r="X253">
        <f>IF($S253=1,"",$U253-IFERROR(INDEX(Scarcity!$D$5:$D$9,MATCH($D253,Scarcity!$A$5:$A$9,0)),0))</f>
        <v/>
      </c>
    </row>
    <row r="254">
      <c r="A254" t="n">
        <v>253</v>
      </c>
      <c r="B254" t="inlineStr">
        <is>
          <t>Logan Stankoven</t>
        </is>
      </c>
      <c r="C254" t="inlineStr">
        <is>
          <t>CAR</t>
        </is>
      </c>
      <c r="D254" t="inlineStr">
        <is>
          <t>C</t>
        </is>
      </c>
      <c r="E254" t="inlineStr">
        <is>
          <t>L2</t>
        </is>
      </c>
      <c r="F254" t="inlineStr">
        <is>
          <t>PP2</t>
        </is>
      </c>
      <c r="G254" t="n">
        <v>16.2</v>
      </c>
      <c r="H254" t="n">
        <v>72</v>
      </c>
      <c r="I254" t="n">
        <v>2</v>
      </c>
      <c r="K254" t="n">
        <v>69.3</v>
      </c>
      <c r="L254" t="n">
        <v>26.2</v>
      </c>
      <c r="M254" t="n">
        <v>19</v>
      </c>
      <c r="N254" t="n">
        <v>22.9</v>
      </c>
      <c r="O254" t="n">
        <v>8.4</v>
      </c>
      <c r="P254" t="n">
        <v>161.8</v>
      </c>
      <c r="Q254" t="n">
        <v>46</v>
      </c>
      <c r="R254" t="n">
        <v>24.4</v>
      </c>
      <c r="S254">
        <f>IF(COUNTIF(Draft!$C$5:$C$196,$B254)&gt;0,1,0)</f>
        <v/>
      </c>
      <c r="T254">
        <f>IF($S254=0,"",IFERROR(INDEX(Draft!$B$5:$B$196,MATCH($B254,Draft!$C$5:$C$196,0)),""))</f>
        <v/>
      </c>
      <c r="U254" t="n">
        <v>0.47</v>
      </c>
      <c r="V254">
        <f>IF($S254=1,-9999,$U254-ROW()/100000)</f>
        <v/>
      </c>
      <c r="W254">
        <f>IF($S254=1,"",SUMPRODUCT(($D$2:$D$301=$D254)*($V$2:$V$301&gt;$V254))+1)</f>
        <v/>
      </c>
      <c r="X254">
        <f>IF($S254=1,"",$U254-IFERROR(INDEX(Scarcity!$D$5:$D$9,MATCH($D254,Scarcity!$A$5:$A$9,0)),0))</f>
        <v/>
      </c>
    </row>
    <row r="255">
      <c r="A255" t="n">
        <v>254</v>
      </c>
      <c r="B255" t="inlineStr">
        <is>
          <t>Cole Perfetti</t>
        </is>
      </c>
      <c r="C255" t="inlineStr">
        <is>
          <t>WPG</t>
        </is>
      </c>
      <c r="D255" t="inlineStr">
        <is>
          <t>C</t>
        </is>
      </c>
      <c r="E255" t="inlineStr">
        <is>
          <t>L2</t>
        </is>
      </c>
      <c r="F255" t="inlineStr">
        <is>
          <t>PP1</t>
        </is>
      </c>
      <c r="G255" t="n">
        <v>15.3</v>
      </c>
      <c r="H255" t="n">
        <v>70</v>
      </c>
      <c r="I255" t="n">
        <v>2</v>
      </c>
      <c r="K255" t="n">
        <v>66.90000000000001</v>
      </c>
      <c r="L255" t="n">
        <v>27.4</v>
      </c>
      <c r="M255" t="n">
        <v>16.4</v>
      </c>
      <c r="N255" t="n">
        <v>24.2</v>
      </c>
      <c r="O255" t="n">
        <v>9.800000000000001</v>
      </c>
      <c r="P255" t="n">
        <v>137.4</v>
      </c>
      <c r="Q255" t="n">
        <v>55.1</v>
      </c>
      <c r="R255" t="n">
        <v>34.4</v>
      </c>
      <c r="S255">
        <f>IF(COUNTIF(Draft!$C$5:$C$196,$B255)&gt;0,1,0)</f>
        <v/>
      </c>
      <c r="T255">
        <f>IF($S255=0,"",IFERROR(INDEX(Draft!$B$5:$B$196,MATCH($B255,Draft!$C$5:$C$196,0)),""))</f>
        <v/>
      </c>
      <c r="U255" t="n">
        <v>0.47</v>
      </c>
      <c r="V255">
        <f>IF($S255=1,-9999,$U255-ROW()/100000)</f>
        <v/>
      </c>
      <c r="W255">
        <f>IF($S255=1,"",SUMPRODUCT(($D$2:$D$301=$D255)*($V$2:$V$301&gt;$V255))+1)</f>
        <v/>
      </c>
      <c r="X255">
        <f>IF($S255=1,"",$U255-IFERROR(INDEX(Scarcity!$D$5:$D$9,MATCH($D255,Scarcity!$A$5:$A$9,0)),0))</f>
        <v/>
      </c>
    </row>
    <row r="256">
      <c r="A256" t="n">
        <v>255</v>
      </c>
      <c r="B256" t="inlineStr">
        <is>
          <t>Sean Monahan</t>
        </is>
      </c>
      <c r="C256" t="inlineStr">
        <is>
          <t>CBJ</t>
        </is>
      </c>
      <c r="D256" t="inlineStr">
        <is>
          <t>C</t>
        </is>
      </c>
      <c r="E256" t="inlineStr">
        <is>
          <t>L2</t>
        </is>
      </c>
      <c r="F256" t="inlineStr">
        <is>
          <t>PP1</t>
        </is>
      </c>
      <c r="G256" t="n">
        <v>16.7</v>
      </c>
      <c r="H256" t="n">
        <v>73</v>
      </c>
      <c r="I256" t="n">
        <v>2</v>
      </c>
      <c r="J256" t="n">
        <v>2</v>
      </c>
      <c r="K256" t="n">
        <v>72.7</v>
      </c>
      <c r="L256" t="n">
        <v>20.2</v>
      </c>
      <c r="M256" t="n">
        <v>16.6</v>
      </c>
      <c r="N256" t="n">
        <v>27.5</v>
      </c>
      <c r="O256" t="n">
        <v>12</v>
      </c>
      <c r="P256" t="n">
        <v>126.5</v>
      </c>
      <c r="Q256" t="n">
        <v>40.4</v>
      </c>
      <c r="R256" t="n">
        <v>34.5</v>
      </c>
      <c r="S256">
        <f>IF(COUNTIF(Draft!$C$5:$C$196,$B256)&gt;0,1,0)</f>
        <v/>
      </c>
      <c r="T256">
        <f>IF($S256=0,"",IFERROR(INDEX(Draft!$B$5:$B$196,MATCH($B256,Draft!$C$5:$C$196,0)),""))</f>
        <v/>
      </c>
      <c r="U256" t="n">
        <v>0.46</v>
      </c>
      <c r="V256">
        <f>IF($S256=1,-9999,$U256-ROW()/100000)</f>
        <v/>
      </c>
      <c r="W256">
        <f>IF($S256=1,"",SUMPRODUCT(($D$2:$D$301=$D256)*($V$2:$V$301&gt;$V256))+1)</f>
        <v/>
      </c>
      <c r="X256">
        <f>IF($S256=1,"",$U256-IFERROR(INDEX(Scarcity!$D$5:$D$9,MATCH($D256,Scarcity!$A$5:$A$9,0)),0))</f>
        <v/>
      </c>
    </row>
    <row r="257">
      <c r="A257" t="n">
        <v>256</v>
      </c>
      <c r="B257" t="inlineStr">
        <is>
          <t>Simon Edvinsson</t>
        </is>
      </c>
      <c r="C257" t="inlineStr">
        <is>
          <t>DET</t>
        </is>
      </c>
      <c r="D257" t="inlineStr">
        <is>
          <t>D</t>
        </is>
      </c>
      <c r="E257" t="inlineStr">
        <is>
          <t>D1</t>
        </is>
      </c>
      <c r="F257" t="inlineStr"/>
      <c r="G257" t="n">
        <v>22</v>
      </c>
      <c r="H257" t="n">
        <v>69</v>
      </c>
      <c r="I257" t="n">
        <v>1</v>
      </c>
      <c r="J257" t="n">
        <v>1</v>
      </c>
      <c r="K257" t="n">
        <v>44.7</v>
      </c>
      <c r="L257" t="n">
        <v>28.6</v>
      </c>
      <c r="M257" t="n">
        <v>6.7</v>
      </c>
      <c r="N257" t="n">
        <v>16.8</v>
      </c>
      <c r="O257" t="n">
        <v>0.7</v>
      </c>
      <c r="P257" t="n">
        <v>84.90000000000001</v>
      </c>
      <c r="Q257" t="n">
        <v>86.5</v>
      </c>
      <c r="R257" t="n">
        <v>132</v>
      </c>
      <c r="S257">
        <f>IF(COUNTIF(Draft!$C$5:$C$196,$B257)&gt;0,1,0)</f>
        <v/>
      </c>
      <c r="T257">
        <f>IF($S257=0,"",IFERROR(INDEX(Draft!$B$5:$B$196,MATCH($B257,Draft!$C$5:$C$196,0)),""))</f>
        <v/>
      </c>
      <c r="U257" t="n">
        <v>0.42</v>
      </c>
      <c r="V257">
        <f>IF($S257=1,-9999,$U257-ROW()/100000)</f>
        <v/>
      </c>
      <c r="W257">
        <f>IF($S257=1,"",SUMPRODUCT(($D$2:$D$301=$D257)*($V$2:$V$301&gt;$V257))+1)</f>
        <v/>
      </c>
      <c r="X257">
        <f>IF($S257=1,"",$U257-IFERROR(INDEX(Scarcity!$D$5:$D$9,MATCH($D257,Scarcity!$A$5:$A$9,0)),0))</f>
        <v/>
      </c>
    </row>
    <row r="258">
      <c r="A258" t="n">
        <v>257</v>
      </c>
      <c r="B258" t="inlineStr">
        <is>
          <t>Josh Manson</t>
        </is>
      </c>
      <c r="C258" t="inlineStr">
        <is>
          <t>COL</t>
        </is>
      </c>
      <c r="D258" t="inlineStr">
        <is>
          <t>D</t>
        </is>
      </c>
      <c r="E258" t="inlineStr">
        <is>
          <t>D3</t>
        </is>
      </c>
      <c r="F258" t="inlineStr"/>
      <c r="G258" t="n">
        <v>17</v>
      </c>
      <c r="H258" t="n">
        <v>69</v>
      </c>
      <c r="I258" t="n">
        <v>3</v>
      </c>
      <c r="J258" t="n">
        <v>2</v>
      </c>
      <c r="K258" t="n">
        <v>43.1</v>
      </c>
      <c r="L258" t="n">
        <v>35.7</v>
      </c>
      <c r="M258" t="n">
        <v>4.1</v>
      </c>
      <c r="N258" t="n">
        <v>18.6</v>
      </c>
      <c r="O258" t="n">
        <v>0.2</v>
      </c>
      <c r="P258" t="n">
        <v>98.3</v>
      </c>
      <c r="Q258" t="n">
        <v>151</v>
      </c>
      <c r="R258" t="n">
        <v>85.5</v>
      </c>
      <c r="S258">
        <f>IF(COUNTIF(Draft!$C$5:$C$196,$B258)&gt;0,1,0)</f>
        <v/>
      </c>
      <c r="T258">
        <f>IF($S258=0,"",IFERROR(INDEX(Draft!$B$5:$B$196,MATCH($B258,Draft!$C$5:$C$196,0)),""))</f>
        <v/>
      </c>
      <c r="U258" t="n">
        <v>0.42</v>
      </c>
      <c r="V258">
        <f>IF($S258=1,-9999,$U258-ROW()/100000)</f>
        <v/>
      </c>
      <c r="W258">
        <f>IF($S258=1,"",SUMPRODUCT(($D$2:$D$301=$D258)*($V$2:$V$301&gt;$V258))+1)</f>
        <v/>
      </c>
      <c r="X258">
        <f>IF($S258=1,"",$U258-IFERROR(INDEX(Scarcity!$D$5:$D$9,MATCH($D258,Scarcity!$A$5:$A$9,0)),0))</f>
        <v/>
      </c>
    </row>
    <row r="259">
      <c r="A259" t="n">
        <v>258</v>
      </c>
      <c r="B259" t="inlineStr">
        <is>
          <t>Jason Zucker</t>
        </is>
      </c>
      <c r="C259" t="inlineStr">
        <is>
          <t>BUF</t>
        </is>
      </c>
      <c r="D259" t="inlineStr">
        <is>
          <t>L</t>
        </is>
      </c>
      <c r="E259" t="inlineStr">
        <is>
          <t>L3</t>
        </is>
      </c>
      <c r="F259" t="inlineStr">
        <is>
          <t>PP1</t>
        </is>
      </c>
      <c r="G259" t="n">
        <v>15.5</v>
      </c>
      <c r="H259" t="n">
        <v>62</v>
      </c>
      <c r="I259" t="n">
        <v>3</v>
      </c>
      <c r="K259" t="n">
        <v>65.90000000000001</v>
      </c>
      <c r="L259" t="n">
        <v>26.2</v>
      </c>
      <c r="M259" t="n">
        <v>19</v>
      </c>
      <c r="N259" t="n">
        <v>20.9</v>
      </c>
      <c r="O259" t="n">
        <v>14.7</v>
      </c>
      <c r="P259" t="n">
        <v>116.3</v>
      </c>
      <c r="Q259" t="n">
        <v>63</v>
      </c>
      <c r="R259" t="n">
        <v>19.9</v>
      </c>
      <c r="S259">
        <f>IF(COUNTIF(Draft!$C$5:$C$196,$B259)&gt;0,1,0)</f>
        <v/>
      </c>
      <c r="T259">
        <f>IF($S259=0,"",IFERROR(INDEX(Draft!$B$5:$B$196,MATCH($B259,Draft!$C$5:$C$196,0)),""))</f>
        <v/>
      </c>
      <c r="U259" t="n">
        <v>0.41</v>
      </c>
      <c r="V259">
        <f>IF($S259=1,-9999,$U259-ROW()/100000)</f>
        <v/>
      </c>
      <c r="W259">
        <f>IF($S259=1,"",SUMPRODUCT(($D$2:$D$301=$D259)*($V$2:$V$301&gt;$V259))+1)</f>
        <v/>
      </c>
      <c r="X259">
        <f>IF($S259=1,"",$U259-IFERROR(INDEX(Scarcity!$D$5:$D$9,MATCH($D259,Scarcity!$A$5:$A$9,0)),0))</f>
        <v/>
      </c>
    </row>
    <row r="260">
      <c r="A260" t="n">
        <v>259</v>
      </c>
      <c r="B260" t="inlineStr">
        <is>
          <t>Trevor Moore</t>
        </is>
      </c>
      <c r="C260" t="inlineStr">
        <is>
          <t>LAK</t>
        </is>
      </c>
      <c r="D260" t="inlineStr">
        <is>
          <t>L</t>
        </is>
      </c>
      <c r="E260" t="inlineStr">
        <is>
          <t>L3</t>
        </is>
      </c>
      <c r="F260" t="inlineStr">
        <is>
          <t>PP2</t>
        </is>
      </c>
      <c r="G260" t="n">
        <v>15.8</v>
      </c>
      <c r="H260" t="n">
        <v>76</v>
      </c>
      <c r="I260" t="n">
        <v>3</v>
      </c>
      <c r="J260" t="n">
        <v>2</v>
      </c>
      <c r="K260" t="n">
        <v>62.8</v>
      </c>
      <c r="L260" t="n">
        <v>23.8</v>
      </c>
      <c r="M260" t="n">
        <v>16.8</v>
      </c>
      <c r="N260" t="n">
        <v>21.4</v>
      </c>
      <c r="O260" t="n">
        <v>2.5</v>
      </c>
      <c r="P260" t="n">
        <v>166.4</v>
      </c>
      <c r="Q260" t="n">
        <v>67.90000000000001</v>
      </c>
      <c r="R260" t="n">
        <v>38</v>
      </c>
      <c r="S260">
        <f>IF(COUNTIF(Draft!$C$5:$C$196,$B260)&gt;0,1,0)</f>
        <v/>
      </c>
      <c r="T260">
        <f>IF($S260=0,"",IFERROR(INDEX(Draft!$B$5:$B$196,MATCH($B260,Draft!$C$5:$C$196,0)),""))</f>
        <v/>
      </c>
      <c r="U260" t="n">
        <v>0.41</v>
      </c>
      <c r="V260">
        <f>IF($S260=1,-9999,$U260-ROW()/100000)</f>
        <v/>
      </c>
      <c r="W260">
        <f>IF($S260=1,"",SUMPRODUCT(($D$2:$D$301=$D260)*($V$2:$V$301&gt;$V260))+1)</f>
        <v/>
      </c>
      <c r="X260">
        <f>IF($S260=1,"",$U260-IFERROR(INDEX(Scarcity!$D$5:$D$9,MATCH($D260,Scarcity!$A$5:$A$9,0)),0))</f>
        <v/>
      </c>
    </row>
    <row r="261">
      <c r="A261" t="n">
        <v>260</v>
      </c>
      <c r="B261" t="inlineStr">
        <is>
          <t>Kaiden Guhle</t>
        </is>
      </c>
      <c r="C261" t="inlineStr">
        <is>
          <t>MTL</t>
        </is>
      </c>
      <c r="D261" t="inlineStr">
        <is>
          <t>D</t>
        </is>
      </c>
      <c r="E261" t="inlineStr">
        <is>
          <t>D3</t>
        </is>
      </c>
      <c r="F261" t="inlineStr"/>
      <c r="G261" t="n">
        <v>17.2</v>
      </c>
      <c r="H261" t="n">
        <v>65</v>
      </c>
      <c r="I261" t="n">
        <v>3</v>
      </c>
      <c r="J261" t="n">
        <v>2</v>
      </c>
      <c r="K261" t="n">
        <v>35.5</v>
      </c>
      <c r="L261" t="n">
        <v>26.2</v>
      </c>
      <c r="M261" t="n">
        <v>4.7</v>
      </c>
      <c r="N261" t="n">
        <v>14</v>
      </c>
      <c r="O261" t="n">
        <v>0.1</v>
      </c>
      <c r="P261" t="n">
        <v>76.5</v>
      </c>
      <c r="Q261" t="n">
        <v>131.7</v>
      </c>
      <c r="R261" t="n">
        <v>121.5</v>
      </c>
      <c r="S261">
        <f>IF(COUNTIF(Draft!$C$5:$C$196,$B261)&gt;0,1,0)</f>
        <v/>
      </c>
      <c r="T261">
        <f>IF($S261=0,"",IFERROR(INDEX(Draft!$B$5:$B$196,MATCH($B261,Draft!$C$5:$C$196,0)),""))</f>
        <v/>
      </c>
      <c r="U261" t="n">
        <v>0.41</v>
      </c>
      <c r="V261">
        <f>IF($S261=1,-9999,$U261-ROW()/100000)</f>
        <v/>
      </c>
      <c r="W261">
        <f>IF($S261=1,"",SUMPRODUCT(($D$2:$D$301=$D261)*($V$2:$V$301&gt;$V261))+1)</f>
        <v/>
      </c>
      <c r="X261">
        <f>IF($S261=1,"",$U261-IFERROR(INDEX(Scarcity!$D$5:$D$9,MATCH($D261,Scarcity!$A$5:$A$9,0)),0))</f>
        <v/>
      </c>
    </row>
    <row r="262">
      <c r="A262" t="n">
        <v>261</v>
      </c>
      <c r="B262" t="inlineStr">
        <is>
          <t>Ryan Pulock</t>
        </is>
      </c>
      <c r="C262" t="inlineStr">
        <is>
          <t>NYI</t>
        </is>
      </c>
      <c r="D262" t="inlineStr">
        <is>
          <t>D</t>
        </is>
      </c>
      <c r="E262" t="inlineStr">
        <is>
          <t>D1</t>
        </is>
      </c>
      <c r="F262" t="inlineStr"/>
      <c r="G262" t="n">
        <v>21</v>
      </c>
      <c r="H262" t="n">
        <v>74</v>
      </c>
      <c r="I262" t="n">
        <v>1</v>
      </c>
      <c r="J262" t="n">
        <v>1</v>
      </c>
      <c r="K262" t="n">
        <v>43.2</v>
      </c>
      <c r="L262" t="n">
        <v>22.6</v>
      </c>
      <c r="M262" t="n">
        <v>3.6</v>
      </c>
      <c r="N262" t="n">
        <v>19.2</v>
      </c>
      <c r="O262" t="n">
        <v>1.5</v>
      </c>
      <c r="P262" t="n">
        <v>88.7</v>
      </c>
      <c r="Q262" t="n">
        <v>67.7</v>
      </c>
      <c r="R262" t="n">
        <v>144.5</v>
      </c>
      <c r="S262">
        <f>IF(COUNTIF(Draft!$C$5:$C$196,$B262)&gt;0,1,0)</f>
        <v/>
      </c>
      <c r="T262">
        <f>IF($S262=0,"",IFERROR(INDEX(Draft!$B$5:$B$196,MATCH($B262,Draft!$C$5:$C$196,0)),""))</f>
        <v/>
      </c>
      <c r="U262" t="n">
        <v>0.39</v>
      </c>
      <c r="V262">
        <f>IF($S262=1,-9999,$U262-ROW()/100000)</f>
        <v/>
      </c>
      <c r="W262">
        <f>IF($S262=1,"",SUMPRODUCT(($D$2:$D$301=$D262)*($V$2:$V$301&gt;$V262))+1)</f>
        <v/>
      </c>
      <c r="X262">
        <f>IF($S262=1,"",$U262-IFERROR(INDEX(Scarcity!$D$5:$D$9,MATCH($D262,Scarcity!$A$5:$A$9,0)),0))</f>
        <v/>
      </c>
    </row>
    <row r="263">
      <c r="A263" t="n">
        <v>262</v>
      </c>
      <c r="B263" t="inlineStr">
        <is>
          <t>Dmitry Orlov</t>
        </is>
      </c>
      <c r="C263" t="inlineStr">
        <is>
          <t>SJS</t>
        </is>
      </c>
      <c r="D263" t="inlineStr">
        <is>
          <t>D</t>
        </is>
      </c>
      <c r="E263" t="inlineStr">
        <is>
          <t>D1</t>
        </is>
      </c>
      <c r="F263" t="inlineStr">
        <is>
          <t>PP1</t>
        </is>
      </c>
      <c r="G263" t="n">
        <v>21.3</v>
      </c>
      <c r="H263" t="n">
        <v>75</v>
      </c>
      <c r="I263" t="n">
        <v>1</v>
      </c>
      <c r="J263" t="n">
        <v>3</v>
      </c>
      <c r="K263" t="n">
        <v>56.3</v>
      </c>
      <c r="L263" t="n">
        <v>31</v>
      </c>
      <c r="M263" t="n">
        <v>4.1</v>
      </c>
      <c r="N263" t="n">
        <v>25.5</v>
      </c>
      <c r="O263" t="n">
        <v>10.6</v>
      </c>
      <c r="P263" t="n">
        <v>86.7</v>
      </c>
      <c r="Q263" t="n">
        <v>107.5</v>
      </c>
      <c r="R263" t="n">
        <v>66.59999999999999</v>
      </c>
      <c r="S263">
        <f>IF(COUNTIF(Draft!$C$5:$C$196,$B263)&gt;0,1,0)</f>
        <v/>
      </c>
      <c r="T263">
        <f>IF($S263=0,"",IFERROR(INDEX(Draft!$B$5:$B$196,MATCH($B263,Draft!$C$5:$C$196,0)),""))</f>
        <v/>
      </c>
      <c r="U263" t="n">
        <v>0.38</v>
      </c>
      <c r="V263">
        <f>IF($S263=1,-9999,$U263-ROW()/100000)</f>
        <v/>
      </c>
      <c r="W263">
        <f>IF($S263=1,"",SUMPRODUCT(($D$2:$D$301=$D263)*($V$2:$V$301&gt;$V263))+1)</f>
        <v/>
      </c>
      <c r="X263">
        <f>IF($S263=1,"",$U263-IFERROR(INDEX(Scarcity!$D$5:$D$9,MATCH($D263,Scarcity!$A$5:$A$9,0)),0))</f>
        <v/>
      </c>
    </row>
    <row r="264">
      <c r="A264" t="n">
        <v>263</v>
      </c>
      <c r="B264" t="inlineStr">
        <is>
          <t>Aliaksei Protas</t>
        </is>
      </c>
      <c r="C264" t="inlineStr">
        <is>
          <t>WSH</t>
        </is>
      </c>
      <c r="D264" t="inlineStr">
        <is>
          <t>L</t>
        </is>
      </c>
      <c r="E264" t="inlineStr">
        <is>
          <t>L2</t>
        </is>
      </c>
      <c r="F264" t="inlineStr"/>
      <c r="G264" t="n">
        <v>16</v>
      </c>
      <c r="H264" t="n">
        <v>75</v>
      </c>
      <c r="I264" t="n">
        <v>2</v>
      </c>
      <c r="J264" t="n">
        <v>2</v>
      </c>
      <c r="K264" t="n">
        <v>76.2</v>
      </c>
      <c r="L264" t="n">
        <v>32.1</v>
      </c>
      <c r="M264" t="n">
        <v>22.8</v>
      </c>
      <c r="N264" t="n">
        <v>29.4</v>
      </c>
      <c r="O264" t="n">
        <v>1.4</v>
      </c>
      <c r="P264" t="n">
        <v>145.2</v>
      </c>
      <c r="Q264" t="n">
        <v>30.9</v>
      </c>
      <c r="R264" t="n">
        <v>39</v>
      </c>
      <c r="S264">
        <f>IF(COUNTIF(Draft!$C$5:$C$196,$B264)&gt;0,1,0)</f>
        <v/>
      </c>
      <c r="T264">
        <f>IF($S264=0,"",IFERROR(INDEX(Draft!$B$5:$B$196,MATCH($B264,Draft!$C$5:$C$196,0)),""))</f>
        <v/>
      </c>
      <c r="U264" t="n">
        <v>0.36</v>
      </c>
      <c r="V264">
        <f>IF($S264=1,-9999,$U264-ROW()/100000)</f>
        <v/>
      </c>
      <c r="W264">
        <f>IF($S264=1,"",SUMPRODUCT(($D$2:$D$301=$D264)*($V$2:$V$301&gt;$V264))+1)</f>
        <v/>
      </c>
      <c r="X264">
        <f>IF($S264=1,"",$U264-IFERROR(INDEX(Scarcity!$D$5:$D$9,MATCH($D264,Scarcity!$A$5:$A$9,0)),0))</f>
        <v/>
      </c>
    </row>
    <row r="265">
      <c r="A265" t="n">
        <v>264</v>
      </c>
      <c r="B265" t="inlineStr">
        <is>
          <t>Jordan Eberle</t>
        </is>
      </c>
      <c r="C265" t="inlineStr">
        <is>
          <t>SEA</t>
        </is>
      </c>
      <c r="D265" t="inlineStr">
        <is>
          <t>R</t>
        </is>
      </c>
      <c r="E265" t="inlineStr">
        <is>
          <t>L1</t>
        </is>
      </c>
      <c r="F265" t="inlineStr">
        <is>
          <t>PP1</t>
        </is>
      </c>
      <c r="G265" t="n">
        <v>18.3</v>
      </c>
      <c r="H265" t="n">
        <v>67</v>
      </c>
      <c r="I265" t="n">
        <v>1</v>
      </c>
      <c r="K265" t="n">
        <v>70.09999999999999</v>
      </c>
      <c r="L265" t="n">
        <v>27.4</v>
      </c>
      <c r="M265" t="n">
        <v>18.3</v>
      </c>
      <c r="N265" t="n">
        <v>24.2</v>
      </c>
      <c r="O265" t="n">
        <v>12.1</v>
      </c>
      <c r="P265" t="n">
        <v>125.5</v>
      </c>
      <c r="Q265" t="n">
        <v>39.4</v>
      </c>
      <c r="R265" t="n">
        <v>33.5</v>
      </c>
      <c r="S265">
        <f>IF(COUNTIF(Draft!$C$5:$C$196,$B265)&gt;0,1,0)</f>
        <v/>
      </c>
      <c r="T265">
        <f>IF($S265=0,"",IFERROR(INDEX(Draft!$B$5:$B$196,MATCH($B265,Draft!$C$5:$C$196,0)),""))</f>
        <v/>
      </c>
      <c r="U265" t="n">
        <v>0.36</v>
      </c>
      <c r="V265">
        <f>IF($S265=1,-9999,$U265-ROW()/100000)</f>
        <v/>
      </c>
      <c r="W265">
        <f>IF($S265=1,"",SUMPRODUCT(($D$2:$D$301=$D265)*($V$2:$V$301&gt;$V265))+1)</f>
        <v/>
      </c>
      <c r="X265">
        <f>IF($S265=1,"",$U265-IFERROR(INDEX(Scarcity!$D$5:$D$9,MATCH($D265,Scarcity!$A$5:$A$9,0)),0))</f>
        <v/>
      </c>
    </row>
    <row r="266">
      <c r="A266" t="n">
        <v>265</v>
      </c>
      <c r="B266" t="inlineStr">
        <is>
          <t>Beck Malenstyn</t>
        </is>
      </c>
      <c r="C266" t="inlineStr">
        <is>
          <t>BUF</t>
        </is>
      </c>
      <c r="D266" t="inlineStr">
        <is>
          <t>L</t>
        </is>
      </c>
      <c r="E266" t="inlineStr">
        <is>
          <t>L4</t>
        </is>
      </c>
      <c r="F266" t="inlineStr"/>
      <c r="G266" t="n">
        <v>11.3</v>
      </c>
      <c r="H266" t="n">
        <v>78</v>
      </c>
      <c r="I266" t="n">
        <v>4</v>
      </c>
      <c r="J266" t="n">
        <v>1</v>
      </c>
      <c r="K266" t="n">
        <v>20.1</v>
      </c>
      <c r="L266" t="n">
        <v>26.2</v>
      </c>
      <c r="M266" t="n">
        <v>3.9</v>
      </c>
      <c r="N266" t="n">
        <v>4.6</v>
      </c>
      <c r="O266" t="n">
        <v>0.1</v>
      </c>
      <c r="P266" t="n">
        <v>69.09999999999999</v>
      </c>
      <c r="Q266" t="n">
        <v>248.1</v>
      </c>
      <c r="R266" t="n">
        <v>69</v>
      </c>
      <c r="S266">
        <f>IF(COUNTIF(Draft!$C$5:$C$196,$B266)&gt;0,1,0)</f>
        <v/>
      </c>
      <c r="T266">
        <f>IF($S266=0,"",IFERROR(INDEX(Draft!$B$5:$B$196,MATCH($B266,Draft!$C$5:$C$196,0)),""))</f>
        <v/>
      </c>
      <c r="U266" t="n">
        <v>0.36</v>
      </c>
      <c r="V266">
        <f>IF($S266=1,-9999,$U266-ROW()/100000)</f>
        <v/>
      </c>
      <c r="W266">
        <f>IF($S266=1,"",SUMPRODUCT(($D$2:$D$301=$D266)*($V$2:$V$301&gt;$V266))+1)</f>
        <v/>
      </c>
      <c r="X266">
        <f>IF($S266=1,"",$U266-IFERROR(INDEX(Scarcity!$D$5:$D$9,MATCH($D266,Scarcity!$A$5:$A$9,0)),0))</f>
        <v/>
      </c>
    </row>
    <row r="267">
      <c r="A267" t="n">
        <v>266</v>
      </c>
      <c r="B267" t="inlineStr">
        <is>
          <t>Aaron Ekblad</t>
        </is>
      </c>
      <c r="C267" t="inlineStr">
        <is>
          <t>FLA</t>
        </is>
      </c>
      <c r="D267" t="inlineStr">
        <is>
          <t>D</t>
        </is>
      </c>
      <c r="E267" t="inlineStr">
        <is>
          <t>D2</t>
        </is>
      </c>
      <c r="F267" t="inlineStr">
        <is>
          <t>PP2</t>
        </is>
      </c>
      <c r="G267" t="n">
        <v>21.4</v>
      </c>
      <c r="H267" t="n">
        <v>69</v>
      </c>
      <c r="I267" t="n">
        <v>2</v>
      </c>
      <c r="J267" t="n">
        <v>1</v>
      </c>
      <c r="K267" t="n">
        <v>50.9</v>
      </c>
      <c r="L267" t="n">
        <v>29.8</v>
      </c>
      <c r="M267" t="n">
        <v>4.4</v>
      </c>
      <c r="N267" t="n">
        <v>22.3</v>
      </c>
      <c r="O267" t="n">
        <v>6.6</v>
      </c>
      <c r="P267" t="n">
        <v>101.1</v>
      </c>
      <c r="Q267" t="n">
        <v>87.2</v>
      </c>
      <c r="R267" t="n">
        <v>91.40000000000001</v>
      </c>
      <c r="S267">
        <f>IF(COUNTIF(Draft!$C$5:$C$196,$B267)&gt;0,1,0)</f>
        <v/>
      </c>
      <c r="T267">
        <f>IF($S267=0,"",IFERROR(INDEX(Draft!$B$5:$B$196,MATCH($B267,Draft!$C$5:$C$196,0)),""))</f>
        <v/>
      </c>
      <c r="U267" t="n">
        <v>0.34</v>
      </c>
      <c r="V267">
        <f>IF($S267=1,-9999,$U267-ROW()/100000)</f>
        <v/>
      </c>
      <c r="W267">
        <f>IF($S267=1,"",SUMPRODUCT(($D$2:$D$301=$D267)*($V$2:$V$301&gt;$V267))+1)</f>
        <v/>
      </c>
      <c r="X267">
        <f>IF($S267=1,"",$U267-IFERROR(INDEX(Scarcity!$D$5:$D$9,MATCH($D267,Scarcity!$A$5:$A$9,0)),0))</f>
        <v/>
      </c>
    </row>
    <row r="268">
      <c r="A268" t="n">
        <v>267</v>
      </c>
      <c r="B268" t="inlineStr">
        <is>
          <t>Mark Kastelic</t>
        </is>
      </c>
      <c r="C268" t="inlineStr">
        <is>
          <t>BOS</t>
        </is>
      </c>
      <c r="D268" t="inlineStr">
        <is>
          <t>C</t>
        </is>
      </c>
      <c r="E268" t="inlineStr">
        <is>
          <t>L4</t>
        </is>
      </c>
      <c r="F268" t="inlineStr"/>
      <c r="G268" t="n">
        <v>12.4</v>
      </c>
      <c r="H268" t="n">
        <v>77</v>
      </c>
      <c r="I268" t="n">
        <v>4</v>
      </c>
      <c r="J268" t="n">
        <v>1</v>
      </c>
      <c r="K268" t="n">
        <v>31.9</v>
      </c>
      <c r="L268" t="n">
        <v>28.6</v>
      </c>
      <c r="M268" t="n">
        <v>8.5</v>
      </c>
      <c r="N268" t="n">
        <v>8.300000000000001</v>
      </c>
      <c r="O268" t="n">
        <v>0.6</v>
      </c>
      <c r="P268" t="n">
        <v>87.90000000000001</v>
      </c>
      <c r="Q268" t="n">
        <v>210.8</v>
      </c>
      <c r="R268" t="n">
        <v>54.5</v>
      </c>
      <c r="S268">
        <f>IF(COUNTIF(Draft!$C$5:$C$196,$B268)&gt;0,1,0)</f>
        <v/>
      </c>
      <c r="T268">
        <f>IF($S268=0,"",IFERROR(INDEX(Draft!$B$5:$B$196,MATCH($B268,Draft!$C$5:$C$196,0)),""))</f>
        <v/>
      </c>
      <c r="U268" t="n">
        <v>0.34</v>
      </c>
      <c r="V268">
        <f>IF($S268=1,-9999,$U268-ROW()/100000)</f>
        <v/>
      </c>
      <c r="W268">
        <f>IF($S268=1,"",SUMPRODUCT(($D$2:$D$301=$D268)*($V$2:$V$301&gt;$V268))+1)</f>
        <v/>
      </c>
      <c r="X268">
        <f>IF($S268=1,"",$U268-IFERROR(INDEX(Scarcity!$D$5:$D$9,MATCH($D268,Scarcity!$A$5:$A$9,0)),0))</f>
        <v/>
      </c>
    </row>
    <row r="269">
      <c r="A269" t="n">
        <v>268</v>
      </c>
      <c r="B269" t="inlineStr">
        <is>
          <t>Parker Kelly</t>
        </is>
      </c>
      <c r="C269" t="inlineStr">
        <is>
          <t>COL</t>
        </is>
      </c>
      <c r="D269" t="inlineStr">
        <is>
          <t>C</t>
        </is>
      </c>
      <c r="E269" t="inlineStr">
        <is>
          <t>L4</t>
        </is>
      </c>
      <c r="F269" t="inlineStr"/>
      <c r="G269" t="n">
        <v>12.3</v>
      </c>
      <c r="H269" t="n">
        <v>79</v>
      </c>
      <c r="I269" t="n">
        <v>4</v>
      </c>
      <c r="J269" t="n">
        <v>1</v>
      </c>
      <c r="K269" t="n">
        <v>46.1</v>
      </c>
      <c r="L269" t="n">
        <v>35.7</v>
      </c>
      <c r="M269" t="n">
        <v>12.4</v>
      </c>
      <c r="N269" t="n">
        <v>11.7</v>
      </c>
      <c r="O269" t="n">
        <v>0.1</v>
      </c>
      <c r="P269" t="n">
        <v>95.3</v>
      </c>
      <c r="Q269" t="n">
        <v>168.9</v>
      </c>
      <c r="R269" t="n">
        <v>58.4</v>
      </c>
      <c r="S269">
        <f>IF(COUNTIF(Draft!$C$5:$C$196,$B269)&gt;0,1,0)</f>
        <v/>
      </c>
      <c r="T269">
        <f>IF($S269=0,"",IFERROR(INDEX(Draft!$B$5:$B$196,MATCH($B269,Draft!$C$5:$C$196,0)),""))</f>
        <v/>
      </c>
      <c r="U269" t="n">
        <v>0.32</v>
      </c>
      <c r="V269">
        <f>IF($S269=1,-9999,$U269-ROW()/100000)</f>
        <v/>
      </c>
      <c r="W269">
        <f>IF($S269=1,"",SUMPRODUCT(($D$2:$D$301=$D269)*($V$2:$V$301&gt;$V269))+1)</f>
        <v/>
      </c>
      <c r="X269">
        <f>IF($S269=1,"",$U269-IFERROR(INDEX(Scarcity!$D$5:$D$9,MATCH($D269,Scarcity!$A$5:$A$9,0)),0))</f>
        <v/>
      </c>
    </row>
    <row r="270">
      <c r="A270" t="n">
        <v>269</v>
      </c>
      <c r="B270" t="inlineStr">
        <is>
          <t>Keegan Kolesar</t>
        </is>
      </c>
      <c r="C270" t="inlineStr">
        <is>
          <t>DET</t>
        </is>
      </c>
      <c r="D270" t="inlineStr">
        <is>
          <t>R</t>
        </is>
      </c>
      <c r="E270" t="inlineStr">
        <is>
          <t>L4</t>
        </is>
      </c>
      <c r="F270" t="inlineStr"/>
      <c r="G270" t="n">
        <v>11.3</v>
      </c>
      <c r="H270" t="n">
        <v>79</v>
      </c>
      <c r="I270" t="n">
        <v>4</v>
      </c>
      <c r="K270" t="n">
        <v>32.5</v>
      </c>
      <c r="L270" t="n">
        <v>28.6</v>
      </c>
      <c r="M270" t="n">
        <v>6.7</v>
      </c>
      <c r="N270" t="n">
        <v>10.4</v>
      </c>
      <c r="O270" t="n">
        <v>0</v>
      </c>
      <c r="P270" t="n">
        <v>67.2</v>
      </c>
      <c r="Q270" t="n">
        <v>252.1</v>
      </c>
      <c r="R270" t="n">
        <v>42</v>
      </c>
      <c r="S270">
        <f>IF(COUNTIF(Draft!$C$5:$C$196,$B270)&gt;0,1,0)</f>
        <v/>
      </c>
      <c r="T270">
        <f>IF($S270=0,"",IFERROR(INDEX(Draft!$B$5:$B$196,MATCH($B270,Draft!$C$5:$C$196,0)),""))</f>
        <v/>
      </c>
      <c r="U270" t="n">
        <v>0.3</v>
      </c>
      <c r="V270">
        <f>IF($S270=1,-9999,$U270-ROW()/100000)</f>
        <v/>
      </c>
      <c r="W270">
        <f>IF($S270=1,"",SUMPRODUCT(($D$2:$D$301=$D270)*($V$2:$V$301&gt;$V270))+1)</f>
        <v/>
      </c>
      <c r="X270">
        <f>IF($S270=1,"",$U270-IFERROR(INDEX(Scarcity!$D$5:$D$9,MATCH($D270,Scarcity!$A$5:$A$9,0)),0))</f>
        <v/>
      </c>
    </row>
    <row r="271">
      <c r="A271" t="n">
        <v>270</v>
      </c>
      <c r="B271" t="inlineStr">
        <is>
          <t>Gustav Forsling</t>
        </is>
      </c>
      <c r="C271" t="inlineStr">
        <is>
          <t>FLA</t>
        </is>
      </c>
      <c r="D271" t="inlineStr">
        <is>
          <t>D</t>
        </is>
      </c>
      <c r="E271" t="inlineStr">
        <is>
          <t>D2</t>
        </is>
      </c>
      <c r="F271" t="inlineStr"/>
      <c r="G271" t="n">
        <v>20.2</v>
      </c>
      <c r="H271" t="n">
        <v>80</v>
      </c>
      <c r="I271" t="n">
        <v>2</v>
      </c>
      <c r="J271" t="n">
        <v>1</v>
      </c>
      <c r="K271" t="n">
        <v>55.2</v>
      </c>
      <c r="L271" t="n">
        <v>29.8</v>
      </c>
      <c r="M271" t="n">
        <v>5.7</v>
      </c>
      <c r="N271" t="n">
        <v>23.3</v>
      </c>
      <c r="O271" t="n">
        <v>2</v>
      </c>
      <c r="P271" t="n">
        <v>130.6</v>
      </c>
      <c r="Q271" t="n">
        <v>64.09999999999999</v>
      </c>
      <c r="R271" t="n">
        <v>95.59999999999999</v>
      </c>
      <c r="S271">
        <f>IF(COUNTIF(Draft!$C$5:$C$196,$B271)&gt;0,1,0)</f>
        <v/>
      </c>
      <c r="T271">
        <f>IF($S271=0,"",IFERROR(INDEX(Draft!$B$5:$B$196,MATCH($B271,Draft!$C$5:$C$196,0)),""))</f>
        <v/>
      </c>
      <c r="U271" t="n">
        <v>0.25</v>
      </c>
      <c r="V271">
        <f>IF($S271=1,-9999,$U271-ROW()/100000)</f>
        <v/>
      </c>
      <c r="W271">
        <f>IF($S271=1,"",SUMPRODUCT(($D$2:$D$301=$D271)*($V$2:$V$301&gt;$V271))+1)</f>
        <v/>
      </c>
      <c r="X271">
        <f>IF($S271=1,"",$U271-IFERROR(INDEX(Scarcity!$D$5:$D$9,MATCH($D271,Scarcity!$A$5:$A$9,0)),0))</f>
        <v/>
      </c>
    </row>
    <row r="272">
      <c r="A272" t="n">
        <v>271</v>
      </c>
      <c r="B272" t="inlineStr">
        <is>
          <t>Cam York</t>
        </is>
      </c>
      <c r="C272" t="inlineStr">
        <is>
          <t>PHI</t>
        </is>
      </c>
      <c r="D272" t="inlineStr">
        <is>
          <t>D</t>
        </is>
      </c>
      <c r="E272" t="inlineStr">
        <is>
          <t>D2</t>
        </is>
      </c>
      <c r="F272" t="inlineStr">
        <is>
          <t>PP2</t>
        </is>
      </c>
      <c r="G272" t="n">
        <v>20.3</v>
      </c>
      <c r="H272" t="n">
        <v>74</v>
      </c>
      <c r="I272" t="n">
        <v>2</v>
      </c>
      <c r="J272" t="n">
        <v>1</v>
      </c>
      <c r="K272" t="n">
        <v>47</v>
      </c>
      <c r="L272" t="n">
        <v>31</v>
      </c>
      <c r="M272" t="n">
        <v>5.4</v>
      </c>
      <c r="N272" t="n">
        <v>19.2</v>
      </c>
      <c r="O272" t="n">
        <v>4.8</v>
      </c>
      <c r="P272" t="n">
        <v>86.5</v>
      </c>
      <c r="Q272" t="n">
        <v>39.2</v>
      </c>
      <c r="R272" t="n">
        <v>140.7</v>
      </c>
      <c r="S272">
        <f>IF(COUNTIF(Draft!$C$5:$C$196,$B272)&gt;0,1,0)</f>
        <v/>
      </c>
      <c r="T272">
        <f>IF($S272=0,"",IFERROR(INDEX(Draft!$B$5:$B$196,MATCH($B272,Draft!$C$5:$C$196,0)),""))</f>
        <v/>
      </c>
      <c r="U272" t="n">
        <v>0.24</v>
      </c>
      <c r="V272">
        <f>IF($S272=1,-9999,$U272-ROW()/100000)</f>
        <v/>
      </c>
      <c r="W272">
        <f>IF($S272=1,"",SUMPRODUCT(($D$2:$D$301=$D272)*($V$2:$V$301&gt;$V272))+1)</f>
        <v/>
      </c>
      <c r="X272">
        <f>IF($S272=1,"",$U272-IFERROR(INDEX(Scarcity!$D$5:$D$9,MATCH($D272,Scarcity!$A$5:$A$9,0)),0))</f>
        <v/>
      </c>
    </row>
    <row r="273">
      <c r="A273" t="n">
        <v>272</v>
      </c>
      <c r="B273" t="inlineStr">
        <is>
          <t>Nick Seeler</t>
        </is>
      </c>
      <c r="C273" t="inlineStr">
        <is>
          <t>PHI</t>
        </is>
      </c>
      <c r="D273" t="inlineStr">
        <is>
          <t>D</t>
        </is>
      </c>
      <c r="E273" t="inlineStr">
        <is>
          <t>D3</t>
        </is>
      </c>
      <c r="F273" t="inlineStr"/>
      <c r="G273" t="n">
        <v>16.8</v>
      </c>
      <c r="H273" t="n">
        <v>76</v>
      </c>
      <c r="I273" t="n">
        <v>3</v>
      </c>
      <c r="J273" t="n">
        <v>2</v>
      </c>
      <c r="K273" t="n">
        <v>14.8</v>
      </c>
      <c r="L273" t="n">
        <v>31</v>
      </c>
      <c r="M273" t="n">
        <v>1.8</v>
      </c>
      <c r="N273" t="n">
        <v>4.5</v>
      </c>
      <c r="O273" t="n">
        <v>0</v>
      </c>
      <c r="P273" t="n">
        <v>82</v>
      </c>
      <c r="Q273" t="n">
        <v>118.9</v>
      </c>
      <c r="R273" t="n">
        <v>154.2</v>
      </c>
      <c r="S273">
        <f>IF(COUNTIF(Draft!$C$5:$C$196,$B273)&gt;0,1,0)</f>
        <v/>
      </c>
      <c r="T273">
        <f>IF($S273=0,"",IFERROR(INDEX(Draft!$B$5:$B$196,MATCH($B273,Draft!$C$5:$C$196,0)),""))</f>
        <v/>
      </c>
      <c r="U273" t="n">
        <v>0.24</v>
      </c>
      <c r="V273">
        <f>IF($S273=1,-9999,$U273-ROW()/100000)</f>
        <v/>
      </c>
      <c r="W273">
        <f>IF($S273=1,"",SUMPRODUCT(($D$2:$D$301=$D273)*($V$2:$V$301&gt;$V273))+1)</f>
        <v/>
      </c>
      <c r="X273">
        <f>IF($S273=1,"",$U273-IFERROR(INDEX(Scarcity!$D$5:$D$9,MATCH($D273,Scarcity!$A$5:$A$9,0)),0))</f>
        <v/>
      </c>
    </row>
    <row r="274">
      <c r="A274" t="n">
        <v>273</v>
      </c>
      <c r="B274" t="inlineStr">
        <is>
          <t>Tanner Jeannot</t>
        </is>
      </c>
      <c r="C274" t="inlineStr">
        <is>
          <t>BOS</t>
        </is>
      </c>
      <c r="D274" t="inlineStr">
        <is>
          <t>L</t>
        </is>
      </c>
      <c r="E274" t="inlineStr">
        <is>
          <t>L4</t>
        </is>
      </c>
      <c r="F274" t="inlineStr"/>
      <c r="G274" t="n">
        <v>12.3</v>
      </c>
      <c r="H274" t="n">
        <v>73</v>
      </c>
      <c r="I274" t="n">
        <v>4</v>
      </c>
      <c r="J274" t="n">
        <v>2</v>
      </c>
      <c r="K274" t="n">
        <v>33.2</v>
      </c>
      <c r="L274" t="n">
        <v>28.6</v>
      </c>
      <c r="M274" t="n">
        <v>6.5</v>
      </c>
      <c r="N274" t="n">
        <v>11</v>
      </c>
      <c r="O274" t="n">
        <v>0.7</v>
      </c>
      <c r="P274" t="n">
        <v>69.5</v>
      </c>
      <c r="Q274" t="n">
        <v>230.2</v>
      </c>
      <c r="R274" t="n">
        <v>49.7</v>
      </c>
      <c r="S274">
        <f>IF(COUNTIF(Draft!$C$5:$C$196,$B274)&gt;0,1,0)</f>
        <v/>
      </c>
      <c r="T274">
        <f>IF($S274=0,"",IFERROR(INDEX(Draft!$B$5:$B$196,MATCH($B274,Draft!$C$5:$C$196,0)),""))</f>
        <v/>
      </c>
      <c r="U274" t="n">
        <v>0.22</v>
      </c>
      <c r="V274">
        <f>IF($S274=1,-9999,$U274-ROW()/100000)</f>
        <v/>
      </c>
      <c r="W274">
        <f>IF($S274=1,"",SUMPRODUCT(($D$2:$D$301=$D274)*($V$2:$V$301&gt;$V274))+1)</f>
        <v/>
      </c>
      <c r="X274">
        <f>IF($S274=1,"",$U274-IFERROR(INDEX(Scarcity!$D$5:$D$9,MATCH($D274,Scarcity!$A$5:$A$9,0)),0))</f>
        <v/>
      </c>
    </row>
    <row r="275">
      <c r="A275" t="n">
        <v>274</v>
      </c>
      <c r="B275" t="inlineStr">
        <is>
          <t>Teuvo Teravainen</t>
        </is>
      </c>
      <c r="C275" t="inlineStr">
        <is>
          <t>CHI</t>
        </is>
      </c>
      <c r="D275" t="inlineStr">
        <is>
          <t>C</t>
        </is>
      </c>
      <c r="E275" t="inlineStr">
        <is>
          <t>L2</t>
        </is>
      </c>
      <c r="F275" t="inlineStr">
        <is>
          <t>PP1</t>
        </is>
      </c>
      <c r="G275" t="n">
        <v>17.6</v>
      </c>
      <c r="H275" t="n">
        <v>78</v>
      </c>
      <c r="I275" t="n">
        <v>2</v>
      </c>
      <c r="J275" t="n">
        <v>1</v>
      </c>
      <c r="K275" t="n">
        <v>67.5</v>
      </c>
      <c r="L275" t="n">
        <v>29.8</v>
      </c>
      <c r="M275" t="n">
        <v>13.9</v>
      </c>
      <c r="N275" t="n">
        <v>27</v>
      </c>
      <c r="O275" t="n">
        <v>19.7</v>
      </c>
      <c r="P275" t="n">
        <v>96.40000000000001</v>
      </c>
      <c r="Q275" t="n">
        <v>22.3</v>
      </c>
      <c r="R275" t="n">
        <v>37.5</v>
      </c>
      <c r="S275">
        <f>IF(COUNTIF(Draft!$C$5:$C$196,$B275)&gt;0,1,0)</f>
        <v/>
      </c>
      <c r="T275">
        <f>IF($S275=0,"",IFERROR(INDEX(Draft!$B$5:$B$196,MATCH($B275,Draft!$C$5:$C$196,0)),""))</f>
        <v/>
      </c>
      <c r="U275" t="n">
        <v>0.17</v>
      </c>
      <c r="V275">
        <f>IF($S275=1,-9999,$U275-ROW()/100000)</f>
        <v/>
      </c>
      <c r="W275">
        <f>IF($S275=1,"",SUMPRODUCT(($D$2:$D$301=$D275)*($V$2:$V$301&gt;$V275))+1)</f>
        <v/>
      </c>
      <c r="X275">
        <f>IF($S275=1,"",$U275-IFERROR(INDEX(Scarcity!$D$5:$D$9,MATCH($D275,Scarcity!$A$5:$A$9,0)),0))</f>
        <v/>
      </c>
    </row>
    <row r="276">
      <c r="A276" t="n">
        <v>275</v>
      </c>
      <c r="B276" t="inlineStr">
        <is>
          <t>Owen Power</t>
        </is>
      </c>
      <c r="C276" t="inlineStr">
        <is>
          <t>BUF</t>
        </is>
      </c>
      <c r="D276" t="inlineStr">
        <is>
          <t>D</t>
        </is>
      </c>
      <c r="E276" t="inlineStr">
        <is>
          <t>D2</t>
        </is>
      </c>
      <c r="F276" t="inlineStr"/>
      <c r="G276" t="n">
        <v>21.2</v>
      </c>
      <c r="H276" t="n">
        <v>80</v>
      </c>
      <c r="I276" t="n">
        <v>2</v>
      </c>
      <c r="J276" t="n">
        <v>2</v>
      </c>
      <c r="K276" t="n">
        <v>56</v>
      </c>
      <c r="L276" t="n">
        <v>26.2</v>
      </c>
      <c r="M276" t="n">
        <v>7.8</v>
      </c>
      <c r="N276" t="n">
        <v>26.1</v>
      </c>
      <c r="O276" t="n">
        <v>2.8</v>
      </c>
      <c r="P276" t="n">
        <v>127.5</v>
      </c>
      <c r="Q276" t="n">
        <v>30.2</v>
      </c>
      <c r="R276" t="n">
        <v>100.6</v>
      </c>
      <c r="S276">
        <f>IF(COUNTIF(Draft!$C$5:$C$196,$B276)&gt;0,1,0)</f>
        <v/>
      </c>
      <c r="T276">
        <f>IF($S276=0,"",IFERROR(INDEX(Draft!$B$5:$B$196,MATCH($B276,Draft!$C$5:$C$196,0)),""))</f>
        <v/>
      </c>
      <c r="U276" t="n">
        <v>0.17</v>
      </c>
      <c r="V276">
        <f>IF($S276=1,-9999,$U276-ROW()/100000)</f>
        <v/>
      </c>
      <c r="W276">
        <f>IF($S276=1,"",SUMPRODUCT(($D$2:$D$301=$D276)*($V$2:$V$301&gt;$V276))+1)</f>
        <v/>
      </c>
      <c r="X276">
        <f>IF($S276=1,"",$U276-IFERROR(INDEX(Scarcity!$D$5:$D$9,MATCH($D276,Scarcity!$A$5:$A$9,0)),0))</f>
        <v/>
      </c>
    </row>
    <row r="277">
      <c r="A277" t="n">
        <v>276</v>
      </c>
      <c r="B277" t="inlineStr">
        <is>
          <t>Viktor Arvidsson</t>
        </is>
      </c>
      <c r="C277" t="inlineStr">
        <is>
          <t>DET</t>
        </is>
      </c>
      <c r="D277" t="inlineStr">
        <is>
          <t>L</t>
        </is>
      </c>
      <c r="E277" t="inlineStr">
        <is>
          <t>L3</t>
        </is>
      </c>
      <c r="F277" t="inlineStr">
        <is>
          <t>PP1</t>
        </is>
      </c>
      <c r="G277" t="n">
        <v>14.5</v>
      </c>
      <c r="H277" t="n">
        <v>66</v>
      </c>
      <c r="I277" t="n">
        <v>3</v>
      </c>
      <c r="K277" t="n">
        <v>70.3</v>
      </c>
      <c r="L277" t="n">
        <v>28.6</v>
      </c>
      <c r="M277" t="n">
        <v>19.4</v>
      </c>
      <c r="N277" t="n">
        <v>23.2</v>
      </c>
      <c r="O277" t="n">
        <v>8.1</v>
      </c>
      <c r="P277" t="n">
        <v>153.8</v>
      </c>
      <c r="Q277" t="n">
        <v>24.9</v>
      </c>
      <c r="R277" t="n">
        <v>31.7</v>
      </c>
      <c r="S277">
        <f>IF(COUNTIF(Draft!$C$5:$C$196,$B277)&gt;0,1,0)</f>
        <v/>
      </c>
      <c r="T277">
        <f>IF($S277=0,"",IFERROR(INDEX(Draft!$B$5:$B$196,MATCH($B277,Draft!$C$5:$C$196,0)),""))</f>
        <v/>
      </c>
      <c r="U277" t="n">
        <v>0.16</v>
      </c>
      <c r="V277">
        <f>IF($S277=1,-9999,$U277-ROW()/100000)</f>
        <v/>
      </c>
      <c r="W277">
        <f>IF($S277=1,"",SUMPRODUCT(($D$2:$D$301=$D277)*($V$2:$V$301&gt;$V277))+1)</f>
        <v/>
      </c>
      <c r="X277">
        <f>IF($S277=1,"",$U277-IFERROR(INDEX(Scarcity!$D$5:$D$9,MATCH($D277,Scarcity!$A$5:$A$9,0)),0))</f>
        <v/>
      </c>
    </row>
    <row r="278">
      <c r="A278" t="n">
        <v>277</v>
      </c>
      <c r="B278" t="inlineStr">
        <is>
          <t>Devon Toews</t>
        </is>
      </c>
      <c r="C278" t="inlineStr">
        <is>
          <t>COL</t>
        </is>
      </c>
      <c r="D278" t="inlineStr">
        <is>
          <t>D</t>
        </is>
      </c>
      <c r="E278" t="inlineStr">
        <is>
          <t>D1</t>
        </is>
      </c>
      <c r="F278" t="inlineStr"/>
      <c r="G278" t="n">
        <v>21.4</v>
      </c>
      <c r="H278" t="n">
        <v>77</v>
      </c>
      <c r="I278" t="n">
        <v>1</v>
      </c>
      <c r="J278" t="n">
        <v>1</v>
      </c>
      <c r="K278" t="n">
        <v>56.2</v>
      </c>
      <c r="L278" t="n">
        <v>35.7</v>
      </c>
      <c r="M278" t="n">
        <v>6.9</v>
      </c>
      <c r="N278" t="n">
        <v>27.2</v>
      </c>
      <c r="O278" t="n">
        <v>2.3</v>
      </c>
      <c r="P278" t="n">
        <v>126.5</v>
      </c>
      <c r="Q278" t="n">
        <v>38.1</v>
      </c>
      <c r="R278" t="n">
        <v>97.40000000000001</v>
      </c>
      <c r="S278">
        <f>IF(COUNTIF(Draft!$C$5:$C$196,$B278)&gt;0,1,0)</f>
        <v/>
      </c>
      <c r="T278">
        <f>IF($S278=0,"",IFERROR(INDEX(Draft!$B$5:$B$196,MATCH($B278,Draft!$C$5:$C$196,0)),""))</f>
        <v/>
      </c>
      <c r="U278" t="n">
        <v>0.13</v>
      </c>
      <c r="V278">
        <f>IF($S278=1,-9999,$U278-ROW()/100000)</f>
        <v/>
      </c>
      <c r="W278">
        <f>IF($S278=1,"",SUMPRODUCT(($D$2:$D$301=$D278)*($V$2:$V$301&gt;$V278))+1)</f>
        <v/>
      </c>
      <c r="X278">
        <f>IF($S278=1,"",$U278-IFERROR(INDEX(Scarcity!$D$5:$D$9,MATCH($D278,Scarcity!$A$5:$A$9,0)),0))</f>
        <v/>
      </c>
    </row>
    <row r="279">
      <c r="A279" t="n">
        <v>278</v>
      </c>
      <c r="B279" t="inlineStr">
        <is>
          <t>Vladislav Gavrikov</t>
        </is>
      </c>
      <c r="C279" t="inlineStr">
        <is>
          <t>NYR</t>
        </is>
      </c>
      <c r="D279" t="inlineStr">
        <is>
          <t>D</t>
        </is>
      </c>
      <c r="E279" t="inlineStr">
        <is>
          <t>D1</t>
        </is>
      </c>
      <c r="F279" t="inlineStr"/>
      <c r="G279" t="n">
        <v>23</v>
      </c>
      <c r="H279" t="n">
        <v>80</v>
      </c>
      <c r="I279" t="n">
        <v>1</v>
      </c>
      <c r="J279" t="n">
        <v>1</v>
      </c>
      <c r="K279" t="n">
        <v>52.2</v>
      </c>
      <c r="L279" t="n">
        <v>34.5</v>
      </c>
      <c r="M279" t="n">
        <v>8</v>
      </c>
      <c r="N279" t="n">
        <v>19.5</v>
      </c>
      <c r="O279" t="n">
        <v>3.7</v>
      </c>
      <c r="P279" t="n">
        <v>106.6</v>
      </c>
      <c r="Q279" t="n">
        <v>50.1</v>
      </c>
      <c r="R279" t="n">
        <v>110.4</v>
      </c>
      <c r="S279">
        <f>IF(COUNTIF(Draft!$C$5:$C$196,$B279)&gt;0,1,0)</f>
        <v/>
      </c>
      <c r="T279">
        <f>IF($S279=0,"",IFERROR(INDEX(Draft!$B$5:$B$196,MATCH($B279,Draft!$C$5:$C$196,0)),""))</f>
        <v/>
      </c>
      <c r="U279" t="n">
        <v>0.13</v>
      </c>
      <c r="V279">
        <f>IF($S279=1,-9999,$U279-ROW()/100000)</f>
        <v/>
      </c>
      <c r="W279">
        <f>IF($S279=1,"",SUMPRODUCT(($D$2:$D$301=$D279)*($V$2:$V$301&gt;$V279))+1)</f>
        <v/>
      </c>
      <c r="X279">
        <f>IF($S279=1,"",$U279-IFERROR(INDEX(Scarcity!$D$5:$D$9,MATCH($D279,Scarcity!$A$5:$A$9,0)),0))</f>
        <v/>
      </c>
    </row>
    <row r="280">
      <c r="A280" t="n">
        <v>279</v>
      </c>
      <c r="B280" t="inlineStr">
        <is>
          <t>Artyom Levshunov</t>
        </is>
      </c>
      <c r="C280" t="inlineStr">
        <is>
          <t>CHI</t>
        </is>
      </c>
      <c r="D280" t="inlineStr">
        <is>
          <t>D</t>
        </is>
      </c>
      <c r="E280" t="inlineStr">
        <is>
          <t>D1</t>
        </is>
      </c>
      <c r="F280" t="inlineStr">
        <is>
          <t>PP1</t>
        </is>
      </c>
      <c r="G280" t="n">
        <v>20.7</v>
      </c>
      <c r="H280" t="n">
        <v>64</v>
      </c>
      <c r="I280" t="n">
        <v>1</v>
      </c>
      <c r="J280" t="n">
        <v>3</v>
      </c>
      <c r="K280" t="n">
        <v>52</v>
      </c>
      <c r="L280" t="n">
        <v>29.8</v>
      </c>
      <c r="M280" t="n">
        <v>3.9</v>
      </c>
      <c r="N280" t="n">
        <v>23.5</v>
      </c>
      <c r="O280" t="n">
        <v>9.300000000000001</v>
      </c>
      <c r="P280" t="n">
        <v>91.8</v>
      </c>
      <c r="Q280" t="n">
        <v>90.2</v>
      </c>
      <c r="R280" t="n">
        <v>75</v>
      </c>
      <c r="S280">
        <f>IF(COUNTIF(Draft!$C$5:$C$196,$B280)&gt;0,1,0)</f>
        <v/>
      </c>
      <c r="T280">
        <f>IF($S280=0,"",IFERROR(INDEX(Draft!$B$5:$B$196,MATCH($B280,Draft!$C$5:$C$196,0)),""))</f>
        <v/>
      </c>
      <c r="U280" t="n">
        <v>0.08</v>
      </c>
      <c r="V280">
        <f>IF($S280=1,-9999,$U280-ROW()/100000)</f>
        <v/>
      </c>
      <c r="W280">
        <f>IF($S280=1,"",SUMPRODUCT(($D$2:$D$301=$D280)*($V$2:$V$301&gt;$V280))+1)</f>
        <v/>
      </c>
      <c r="X280">
        <f>IF($S280=1,"",$U280-IFERROR(INDEX(Scarcity!$D$5:$D$9,MATCH($D280,Scarcity!$A$5:$A$9,0)),0))</f>
        <v/>
      </c>
    </row>
    <row r="281">
      <c r="A281" t="n">
        <v>280</v>
      </c>
      <c r="B281" t="inlineStr">
        <is>
          <t>Eetu Luostarinen</t>
        </is>
      </c>
      <c r="C281" t="inlineStr">
        <is>
          <t>FLA</t>
        </is>
      </c>
      <c r="D281" t="inlineStr">
        <is>
          <t>C</t>
        </is>
      </c>
      <c r="E281" t="inlineStr">
        <is>
          <t>L3</t>
        </is>
      </c>
      <c r="F281" t="inlineStr"/>
      <c r="G281" t="n">
        <v>15.6</v>
      </c>
      <c r="H281" t="n">
        <v>75</v>
      </c>
      <c r="I281" t="n">
        <v>3</v>
      </c>
      <c r="J281" t="n">
        <v>2</v>
      </c>
      <c r="K281" t="n">
        <v>57</v>
      </c>
      <c r="L281" t="n">
        <v>29.8</v>
      </c>
      <c r="M281" t="n">
        <v>11</v>
      </c>
      <c r="N281" t="n">
        <v>19</v>
      </c>
      <c r="O281" t="n">
        <v>1.2</v>
      </c>
      <c r="P281" t="n">
        <v>98.7</v>
      </c>
      <c r="Q281" t="n">
        <v>132.6</v>
      </c>
      <c r="R281" t="n">
        <v>55.8</v>
      </c>
      <c r="S281">
        <f>IF(COUNTIF(Draft!$C$5:$C$196,$B281)&gt;0,1,0)</f>
        <v/>
      </c>
      <c r="T281">
        <f>IF($S281=0,"",IFERROR(INDEX(Draft!$B$5:$B$196,MATCH($B281,Draft!$C$5:$C$196,0)),""))</f>
        <v/>
      </c>
      <c r="U281" t="n">
        <v>0.06</v>
      </c>
      <c r="V281">
        <f>IF($S281=1,-9999,$U281-ROW()/100000)</f>
        <v/>
      </c>
      <c r="W281">
        <f>IF($S281=1,"",SUMPRODUCT(($D$2:$D$301=$D281)*($V$2:$V$301&gt;$V281))+1)</f>
        <v/>
      </c>
      <c r="X281">
        <f>IF($S281=1,"",$U281-IFERROR(INDEX(Scarcity!$D$5:$D$9,MATCH($D281,Scarcity!$A$5:$A$9,0)),0))</f>
        <v/>
      </c>
    </row>
    <row r="282">
      <c r="A282" t="n">
        <v>281</v>
      </c>
      <c r="B282" t="inlineStr">
        <is>
          <t>Peyton Krebs</t>
        </is>
      </c>
      <c r="C282" t="inlineStr">
        <is>
          <t>BUF</t>
        </is>
      </c>
      <c r="D282" t="inlineStr">
        <is>
          <t>C</t>
        </is>
      </c>
      <c r="E282" t="inlineStr">
        <is>
          <t>L3</t>
        </is>
      </c>
      <c r="F282" t="inlineStr"/>
      <c r="G282" t="n">
        <v>14.6</v>
      </c>
      <c r="H282" t="n">
        <v>79</v>
      </c>
      <c r="I282" t="n">
        <v>3</v>
      </c>
      <c r="K282" t="n">
        <v>53.6</v>
      </c>
      <c r="L282" t="n">
        <v>26.2</v>
      </c>
      <c r="M282" t="n">
        <v>9.6</v>
      </c>
      <c r="N282" t="n">
        <v>22.9</v>
      </c>
      <c r="O282" t="n">
        <v>1</v>
      </c>
      <c r="P282" t="n">
        <v>85.2</v>
      </c>
      <c r="Q282" t="n">
        <v>168.3</v>
      </c>
      <c r="R282" t="n">
        <v>35.8</v>
      </c>
      <c r="S282">
        <f>IF(COUNTIF(Draft!$C$5:$C$196,$B282)&gt;0,1,0)</f>
        <v/>
      </c>
      <c r="T282">
        <f>IF($S282=0,"",IFERROR(INDEX(Draft!$B$5:$B$196,MATCH($B282,Draft!$C$5:$C$196,0)),""))</f>
        <v/>
      </c>
      <c r="U282" t="n">
        <v>0.04</v>
      </c>
      <c r="V282">
        <f>IF($S282=1,-9999,$U282-ROW()/100000)</f>
        <v/>
      </c>
      <c r="W282">
        <f>IF($S282=1,"",SUMPRODUCT(($D$2:$D$301=$D282)*($V$2:$V$301&gt;$V282))+1)</f>
        <v/>
      </c>
      <c r="X282">
        <f>IF($S282=1,"",$U282-IFERROR(INDEX(Scarcity!$D$5:$D$9,MATCH($D282,Scarcity!$A$5:$A$9,0)),0))</f>
        <v/>
      </c>
    </row>
    <row r="283">
      <c r="A283" t="n">
        <v>282</v>
      </c>
      <c r="B283" t="inlineStr">
        <is>
          <t>Simon Benoit</t>
        </is>
      </c>
      <c r="C283" t="inlineStr">
        <is>
          <t>PHI</t>
        </is>
      </c>
      <c r="D283" t="inlineStr">
        <is>
          <t>D</t>
        </is>
      </c>
      <c r="E283" t="inlineStr"/>
      <c r="F283" t="inlineStr"/>
      <c r="H283" t="n">
        <v>75</v>
      </c>
      <c r="K283" t="n">
        <v>6.4</v>
      </c>
      <c r="L283" t="n">
        <v>31</v>
      </c>
      <c r="M283" t="n">
        <v>0.5</v>
      </c>
      <c r="N283" t="n">
        <v>2.3</v>
      </c>
      <c r="O283" t="n">
        <v>0</v>
      </c>
      <c r="P283" t="n">
        <v>56.3</v>
      </c>
      <c r="Q283" t="n">
        <v>203.6</v>
      </c>
      <c r="R283" t="n">
        <v>114</v>
      </c>
      <c r="S283">
        <f>IF(COUNTIF(Draft!$C$5:$C$196,$B283)&gt;0,1,0)</f>
        <v/>
      </c>
      <c r="T283">
        <f>IF($S283=0,"",IFERROR(INDEX(Draft!$B$5:$B$196,MATCH($B283,Draft!$C$5:$C$196,0)),""))</f>
        <v/>
      </c>
      <c r="U283" t="n">
        <v>0.03</v>
      </c>
      <c r="V283">
        <f>IF($S283=1,-9999,$U283-ROW()/100000)</f>
        <v/>
      </c>
      <c r="W283">
        <f>IF($S283=1,"",SUMPRODUCT(($D$2:$D$301=$D283)*($V$2:$V$301&gt;$V283))+1)</f>
        <v/>
      </c>
      <c r="X283">
        <f>IF($S283=1,"",$U283-IFERROR(INDEX(Scarcity!$D$5:$D$9,MATCH($D283,Scarcity!$A$5:$A$9,0)),0))</f>
        <v/>
      </c>
    </row>
    <row r="284">
      <c r="A284" t="n">
        <v>283</v>
      </c>
      <c r="B284" t="inlineStr">
        <is>
          <t>Mikey Anderson</t>
        </is>
      </c>
      <c r="C284" t="inlineStr">
        <is>
          <t>LAK</t>
        </is>
      </c>
      <c r="D284" t="inlineStr">
        <is>
          <t>D</t>
        </is>
      </c>
      <c r="E284" t="inlineStr">
        <is>
          <t>D1</t>
        </is>
      </c>
      <c r="F284" t="inlineStr"/>
      <c r="G284" t="n">
        <v>19.6</v>
      </c>
      <c r="H284" t="n">
        <v>78</v>
      </c>
      <c r="I284" t="n">
        <v>1</v>
      </c>
      <c r="J284" t="n">
        <v>1</v>
      </c>
      <c r="K284" t="n">
        <v>34.3</v>
      </c>
      <c r="L284" t="n">
        <v>23.8</v>
      </c>
      <c r="M284" t="n">
        <v>3.8</v>
      </c>
      <c r="N284" t="n">
        <v>14.3</v>
      </c>
      <c r="O284" t="n">
        <v>0.1</v>
      </c>
      <c r="P284" t="n">
        <v>67.5</v>
      </c>
      <c r="Q284" t="n">
        <v>115</v>
      </c>
      <c r="R284" t="n">
        <v>127.9</v>
      </c>
      <c r="S284">
        <f>IF(COUNTIF(Draft!$C$5:$C$196,$B284)&gt;0,1,0)</f>
        <v/>
      </c>
      <c r="T284">
        <f>IF($S284=0,"",IFERROR(INDEX(Draft!$B$5:$B$196,MATCH($B284,Draft!$C$5:$C$196,0)),""))</f>
        <v/>
      </c>
      <c r="U284" t="n">
        <v>0.02</v>
      </c>
      <c r="V284">
        <f>IF($S284=1,-9999,$U284-ROW()/100000)</f>
        <v/>
      </c>
      <c r="W284">
        <f>IF($S284=1,"",SUMPRODUCT(($D$2:$D$301=$D284)*($V$2:$V$301&gt;$V284))+1)</f>
        <v/>
      </c>
      <c r="X284">
        <f>IF($S284=1,"",$U284-IFERROR(INDEX(Scarcity!$D$5:$D$9,MATCH($D284,Scarcity!$A$5:$A$9,0)),0))</f>
        <v/>
      </c>
    </row>
    <row r="285">
      <c r="A285" t="n">
        <v>284</v>
      </c>
      <c r="B285" t="inlineStr">
        <is>
          <t>Lukas Dostal</t>
        </is>
      </c>
      <c r="C285" t="inlineStr">
        <is>
          <t>ANA</t>
        </is>
      </c>
      <c r="D285" t="inlineStr">
        <is>
          <t>G</t>
        </is>
      </c>
      <c r="E285" t="inlineStr">
        <is>
          <t>G</t>
        </is>
      </c>
      <c r="F285" t="inlineStr"/>
      <c r="H285" t="n">
        <v>58</v>
      </c>
      <c r="L285" t="n">
        <v>34.5</v>
      </c>
      <c r="S285">
        <f>IF(COUNTIF(Draft!$C$5:$C$196,$B285)&gt;0,1,0)</f>
        <v/>
      </c>
      <c r="T285">
        <f>IF($S285=0,"",IFERROR(INDEX(Draft!$B$5:$B$196,MATCH($B285,Draft!$C$5:$C$196,0)),""))</f>
        <v/>
      </c>
      <c r="U285" t="n">
        <v>0</v>
      </c>
      <c r="V285">
        <f>IF($S285=1,-9999,$U285-ROW()/100000)</f>
        <v/>
      </c>
      <c r="W285">
        <f>IF($S285=1,"",SUMPRODUCT(($D$2:$D$301=$D285)*($V$2:$V$301&gt;$V285))+1)</f>
        <v/>
      </c>
      <c r="X285">
        <f>IF($S285=1,"",$U285-IFERROR(INDEX(Scarcity!$D$5:$D$9,MATCH($D285,Scarcity!$A$5:$A$9,0)),0))</f>
        <v/>
      </c>
    </row>
    <row r="286">
      <c r="A286" t="n">
        <v>285</v>
      </c>
      <c r="B286" t="inlineStr">
        <is>
          <t>Mackenzie Blackwood</t>
        </is>
      </c>
      <c r="C286" t="inlineStr">
        <is>
          <t>COL</t>
        </is>
      </c>
      <c r="D286" t="inlineStr">
        <is>
          <t>G</t>
        </is>
      </c>
      <c r="E286" t="inlineStr">
        <is>
          <t>G</t>
        </is>
      </c>
      <c r="F286" t="inlineStr"/>
      <c r="H286" t="n">
        <v>49</v>
      </c>
      <c r="L286" t="n">
        <v>35.7</v>
      </c>
      <c r="S286">
        <f>IF(COUNTIF(Draft!$C$5:$C$196,$B286)&gt;0,1,0)</f>
        <v/>
      </c>
      <c r="T286">
        <f>IF($S286=0,"",IFERROR(INDEX(Draft!$B$5:$B$196,MATCH($B286,Draft!$C$5:$C$196,0)),""))</f>
        <v/>
      </c>
      <c r="U286" t="n">
        <v>0</v>
      </c>
      <c r="V286">
        <f>IF($S286=1,-9999,$U286-ROW()/100000)</f>
        <v/>
      </c>
      <c r="W286">
        <f>IF($S286=1,"",SUMPRODUCT(($D$2:$D$301=$D286)*($V$2:$V$301&gt;$V286))+1)</f>
        <v/>
      </c>
      <c r="X286">
        <f>IF($S286=1,"",$U286-IFERROR(INDEX(Scarcity!$D$5:$D$9,MATCH($D286,Scarcity!$A$5:$A$9,0)),0))</f>
        <v/>
      </c>
    </row>
    <row r="287">
      <c r="A287" t="n">
        <v>286</v>
      </c>
      <c r="B287" t="inlineStr">
        <is>
          <t>Darcy Kuemper</t>
        </is>
      </c>
      <c r="C287" t="inlineStr">
        <is>
          <t>LAK</t>
        </is>
      </c>
      <c r="D287" t="inlineStr">
        <is>
          <t>G</t>
        </is>
      </c>
      <c r="E287" t="inlineStr">
        <is>
          <t>G</t>
        </is>
      </c>
      <c r="F287" t="inlineStr"/>
      <c r="H287" t="n">
        <v>53</v>
      </c>
      <c r="L287" t="n">
        <v>23.8</v>
      </c>
      <c r="S287">
        <f>IF(COUNTIF(Draft!$C$5:$C$196,$B287)&gt;0,1,0)</f>
        <v/>
      </c>
      <c r="T287">
        <f>IF($S287=0,"",IFERROR(INDEX(Draft!$B$5:$B$196,MATCH($B287,Draft!$C$5:$C$196,0)),""))</f>
        <v/>
      </c>
      <c r="U287" t="n">
        <v>0</v>
      </c>
      <c r="V287">
        <f>IF($S287=1,-9999,$U287-ROW()/100000)</f>
        <v/>
      </c>
      <c r="W287">
        <f>IF($S287=1,"",SUMPRODUCT(($D$2:$D$301=$D287)*($V$2:$V$301&gt;$V287))+1)</f>
        <v/>
      </c>
      <c r="X287">
        <f>IF($S287=1,"",$U287-IFERROR(INDEX(Scarcity!$D$5:$D$9,MATCH($D287,Scarcity!$A$5:$A$9,0)),0))</f>
        <v/>
      </c>
    </row>
    <row r="288">
      <c r="A288" t="n">
        <v>287</v>
      </c>
      <c r="B288" t="inlineStr">
        <is>
          <t>Adin Hill</t>
        </is>
      </c>
      <c r="C288" t="inlineStr">
        <is>
          <t>VGK</t>
        </is>
      </c>
      <c r="D288" t="inlineStr">
        <is>
          <t>G</t>
        </is>
      </c>
      <c r="E288" t="inlineStr">
        <is>
          <t>G</t>
        </is>
      </c>
      <c r="F288" t="inlineStr"/>
      <c r="H288" t="n">
        <v>53</v>
      </c>
      <c r="L288" t="n">
        <v>28.6</v>
      </c>
      <c r="S288">
        <f>IF(COUNTIF(Draft!$C$5:$C$196,$B288)&gt;0,1,0)</f>
        <v/>
      </c>
      <c r="T288">
        <f>IF($S288=0,"",IFERROR(INDEX(Draft!$B$5:$B$196,MATCH($B288,Draft!$C$5:$C$196,0)),""))</f>
        <v/>
      </c>
      <c r="U288" t="n">
        <v>0</v>
      </c>
      <c r="V288">
        <f>IF($S288=1,-9999,$U288-ROW()/100000)</f>
        <v/>
      </c>
      <c r="W288">
        <f>IF($S288=1,"",SUMPRODUCT(($D$2:$D$301=$D288)*($V$2:$V$301&gt;$V288))+1)</f>
        <v/>
      </c>
      <c r="X288">
        <f>IF($S288=1,"",$U288-IFERROR(INDEX(Scarcity!$D$5:$D$9,MATCH($D288,Scarcity!$A$5:$A$9,0)),0))</f>
        <v/>
      </c>
    </row>
    <row r="289">
      <c r="A289" t="n">
        <v>288</v>
      </c>
      <c r="B289" t="inlineStr">
        <is>
          <t>Arturs Silovs</t>
        </is>
      </c>
      <c r="C289" t="inlineStr">
        <is>
          <t>PIT</t>
        </is>
      </c>
      <c r="D289" t="inlineStr">
        <is>
          <t>G</t>
        </is>
      </c>
      <c r="E289" t="inlineStr">
        <is>
          <t>G</t>
        </is>
      </c>
      <c r="F289" t="inlineStr"/>
      <c r="H289" t="n">
        <v>46</v>
      </c>
      <c r="L289" t="n">
        <v>32.1</v>
      </c>
      <c r="S289">
        <f>IF(COUNTIF(Draft!$C$5:$C$196,$B289)&gt;0,1,0)</f>
        <v/>
      </c>
      <c r="T289">
        <f>IF($S289=0,"",IFERROR(INDEX(Draft!$B$5:$B$196,MATCH($B289,Draft!$C$5:$C$196,0)),""))</f>
        <v/>
      </c>
      <c r="U289" t="n">
        <v>0</v>
      </c>
      <c r="V289">
        <f>IF($S289=1,-9999,$U289-ROW()/100000)</f>
        <v/>
      </c>
      <c r="W289">
        <f>IF($S289=1,"",SUMPRODUCT(($D$2:$D$301=$D289)*($V$2:$V$301&gt;$V289))+1)</f>
        <v/>
      </c>
      <c r="X289">
        <f>IF($S289=1,"",$U289-IFERROR(INDEX(Scarcity!$D$5:$D$9,MATCH($D289,Scarcity!$A$5:$A$9,0)),0))</f>
        <v/>
      </c>
    </row>
    <row r="290">
      <c r="A290" t="n">
        <v>289</v>
      </c>
      <c r="B290" t="inlineStr">
        <is>
          <t>Jakub Dobes</t>
        </is>
      </c>
      <c r="C290" t="inlineStr">
        <is>
          <t>MTL</t>
        </is>
      </c>
      <c r="D290" t="inlineStr">
        <is>
          <t>G</t>
        </is>
      </c>
      <c r="E290" t="inlineStr">
        <is>
          <t>G</t>
        </is>
      </c>
      <c r="F290" t="inlineStr"/>
      <c r="H290" t="n">
        <v>41</v>
      </c>
      <c r="L290" t="n">
        <v>26.2</v>
      </c>
      <c r="S290">
        <f>IF(COUNTIF(Draft!$C$5:$C$196,$B290)&gt;0,1,0)</f>
        <v/>
      </c>
      <c r="T290">
        <f>IF($S290=0,"",IFERROR(INDEX(Draft!$B$5:$B$196,MATCH($B290,Draft!$C$5:$C$196,0)),""))</f>
        <v/>
      </c>
      <c r="U290" t="n">
        <v>0</v>
      </c>
      <c r="V290">
        <f>IF($S290=1,-9999,$U290-ROW()/100000)</f>
        <v/>
      </c>
      <c r="W290">
        <f>IF($S290=1,"",SUMPRODUCT(($D$2:$D$301=$D290)*($V$2:$V$301&gt;$V290))+1)</f>
        <v/>
      </c>
      <c r="X290">
        <f>IF($S290=1,"",$U290-IFERROR(INDEX(Scarcity!$D$5:$D$9,MATCH($D290,Scarcity!$A$5:$A$9,0)),0))</f>
        <v/>
      </c>
    </row>
    <row r="291">
      <c r="A291" t="n">
        <v>290</v>
      </c>
      <c r="B291" t="inlineStr">
        <is>
          <t>Jordan Binnington</t>
        </is>
      </c>
      <c r="C291" t="inlineStr">
        <is>
          <t>STL</t>
        </is>
      </c>
      <c r="D291" t="inlineStr">
        <is>
          <t>G</t>
        </is>
      </c>
      <c r="E291" t="inlineStr">
        <is>
          <t>G</t>
        </is>
      </c>
      <c r="F291" t="inlineStr"/>
      <c r="H291" t="n">
        <v>50</v>
      </c>
      <c r="L291" t="n">
        <v>20.2</v>
      </c>
      <c r="S291">
        <f>IF(COUNTIF(Draft!$C$5:$C$196,$B291)&gt;0,1,0)</f>
        <v/>
      </c>
      <c r="T291">
        <f>IF($S291=0,"",IFERROR(INDEX(Draft!$B$5:$B$196,MATCH($B291,Draft!$C$5:$C$196,0)),""))</f>
        <v/>
      </c>
      <c r="U291" t="n">
        <v>0</v>
      </c>
      <c r="V291">
        <f>IF($S291=1,-9999,$U291-ROW()/100000)</f>
        <v/>
      </c>
      <c r="W291">
        <f>IF($S291=1,"",SUMPRODUCT(($D$2:$D$301=$D291)*($V$2:$V$301&gt;$V291))+1)</f>
        <v/>
      </c>
      <c r="X291">
        <f>IF($S291=1,"",$U291-IFERROR(INDEX(Scarcity!$D$5:$D$9,MATCH($D291,Scarcity!$A$5:$A$9,0)),0))</f>
        <v/>
      </c>
    </row>
    <row r="292">
      <c r="A292" t="n">
        <v>291</v>
      </c>
      <c r="B292" t="inlineStr">
        <is>
          <t>Pyotr Kochetkov</t>
        </is>
      </c>
      <c r="C292" t="inlineStr">
        <is>
          <t>CAR</t>
        </is>
      </c>
      <c r="D292" t="inlineStr">
        <is>
          <t>G</t>
        </is>
      </c>
      <c r="E292" t="inlineStr">
        <is>
          <t>G</t>
        </is>
      </c>
      <c r="F292" t="inlineStr"/>
      <c r="H292" t="n">
        <v>29</v>
      </c>
      <c r="L292" t="n">
        <v>26.2</v>
      </c>
      <c r="S292">
        <f>IF(COUNTIF(Draft!$C$5:$C$196,$B292)&gt;0,1,0)</f>
        <v/>
      </c>
      <c r="T292">
        <f>IF($S292=0,"",IFERROR(INDEX(Draft!$B$5:$B$196,MATCH($B292,Draft!$C$5:$C$196,0)),""))</f>
        <v/>
      </c>
      <c r="U292" t="n">
        <v>0</v>
      </c>
      <c r="V292">
        <f>IF($S292=1,-9999,$U292-ROW()/100000)</f>
        <v/>
      </c>
      <c r="W292">
        <f>IF($S292=1,"",SUMPRODUCT(($D$2:$D$301=$D292)*($V$2:$V$301&gt;$V292))+1)</f>
        <v/>
      </c>
      <c r="X292">
        <f>IF($S292=1,"",$U292-IFERROR(INDEX(Scarcity!$D$5:$D$9,MATCH($D292,Scarcity!$A$5:$A$9,0)),0))</f>
        <v/>
      </c>
    </row>
    <row r="293">
      <c r="A293" t="n">
        <v>292</v>
      </c>
      <c r="B293" t="inlineStr">
        <is>
          <t>Sebastian Cossa</t>
        </is>
      </c>
      <c r="C293" t="inlineStr">
        <is>
          <t>UTA</t>
        </is>
      </c>
      <c r="D293" t="inlineStr">
        <is>
          <t>G</t>
        </is>
      </c>
      <c r="E293" t="inlineStr">
        <is>
          <t>G</t>
        </is>
      </c>
      <c r="F293" t="inlineStr"/>
      <c r="H293" t="n">
        <v>29</v>
      </c>
      <c r="L293" t="n">
        <v>34.5</v>
      </c>
      <c r="S293">
        <f>IF(COUNTIF(Draft!$C$5:$C$196,$B293)&gt;0,1,0)</f>
        <v/>
      </c>
      <c r="T293">
        <f>IF($S293=0,"",IFERROR(INDEX(Draft!$B$5:$B$196,MATCH($B293,Draft!$C$5:$C$196,0)),""))</f>
        <v/>
      </c>
      <c r="U293" t="n">
        <v>0</v>
      </c>
      <c r="V293">
        <f>IF($S293=1,-9999,$U293-ROW()/100000)</f>
        <v/>
      </c>
      <c r="W293">
        <f>IF($S293=1,"",SUMPRODUCT(($D$2:$D$301=$D293)*($V$2:$V$301&gt;$V293))+1)</f>
        <v/>
      </c>
      <c r="X293">
        <f>IF($S293=1,"",$U293-IFERROR(INDEX(Scarcity!$D$5:$D$9,MATCH($D293,Scarcity!$A$5:$A$9,0)),0))</f>
        <v/>
      </c>
    </row>
    <row r="294">
      <c r="A294" t="n">
        <v>293</v>
      </c>
      <c r="B294" t="inlineStr">
        <is>
          <t>Jiri Patera</t>
        </is>
      </c>
      <c r="C294" t="inlineStr">
        <is>
          <t>BOS</t>
        </is>
      </c>
      <c r="D294" t="inlineStr">
        <is>
          <t>G</t>
        </is>
      </c>
      <c r="E294" t="inlineStr">
        <is>
          <t>G</t>
        </is>
      </c>
      <c r="F294" t="inlineStr"/>
      <c r="H294" t="n">
        <v>30</v>
      </c>
      <c r="L294" t="n">
        <v>28.6</v>
      </c>
      <c r="S294">
        <f>IF(COUNTIF(Draft!$C$5:$C$196,$B294)&gt;0,1,0)</f>
        <v/>
      </c>
      <c r="T294">
        <f>IF($S294=0,"",IFERROR(INDEX(Draft!$B$5:$B$196,MATCH($B294,Draft!$C$5:$C$196,0)),""))</f>
        <v/>
      </c>
      <c r="U294" t="n">
        <v>0</v>
      </c>
      <c r="V294">
        <f>IF($S294=1,-9999,$U294-ROW()/100000)</f>
        <v/>
      </c>
      <c r="W294">
        <f>IF($S294=1,"",SUMPRODUCT(($D$2:$D$301=$D294)*($V$2:$V$301&gt;$V294))+1)</f>
        <v/>
      </c>
      <c r="X294">
        <f>IF($S294=1,"",$U294-IFERROR(INDEX(Scarcity!$D$5:$D$9,MATCH($D294,Scarcity!$A$5:$A$9,0)),0))</f>
        <v/>
      </c>
    </row>
    <row r="295">
      <c r="A295" t="n">
        <v>294</v>
      </c>
      <c r="B295" t="inlineStr">
        <is>
          <t>Daniil Tarasov</t>
        </is>
      </c>
      <c r="C295" t="inlineStr">
        <is>
          <t>DET</t>
        </is>
      </c>
      <c r="D295" t="inlineStr">
        <is>
          <t>G</t>
        </is>
      </c>
      <c r="E295" t="inlineStr">
        <is>
          <t>G</t>
        </is>
      </c>
      <c r="F295" t="inlineStr"/>
      <c r="H295" t="n">
        <v>29</v>
      </c>
      <c r="L295" t="n">
        <v>28.6</v>
      </c>
      <c r="S295">
        <f>IF(COUNTIF(Draft!$C$5:$C$196,$B295)&gt;0,1,0)</f>
        <v/>
      </c>
      <c r="T295">
        <f>IF($S295=0,"",IFERROR(INDEX(Draft!$B$5:$B$196,MATCH($B295,Draft!$C$5:$C$196,0)),""))</f>
        <v/>
      </c>
      <c r="U295" t="n">
        <v>0</v>
      </c>
      <c r="V295">
        <f>IF($S295=1,-9999,$U295-ROW()/100000)</f>
        <v/>
      </c>
      <c r="W295">
        <f>IF($S295=1,"",SUMPRODUCT(($D$2:$D$301=$D295)*($V$2:$V$301&gt;$V295))+1)</f>
        <v/>
      </c>
      <c r="X295">
        <f>IF($S295=1,"",$U295-IFERROR(INDEX(Scarcity!$D$5:$D$9,MATCH($D295,Scarcity!$A$5:$A$9,0)),0))</f>
        <v/>
      </c>
    </row>
    <row r="296">
      <c r="A296" t="n">
        <v>295</v>
      </c>
      <c r="B296" t="inlineStr">
        <is>
          <t>Yaroslav Askarov</t>
        </is>
      </c>
      <c r="C296" t="inlineStr">
        <is>
          <t>SJS</t>
        </is>
      </c>
      <c r="D296" t="inlineStr">
        <is>
          <t>G</t>
        </is>
      </c>
      <c r="E296" t="inlineStr">
        <is>
          <t>G</t>
        </is>
      </c>
      <c r="F296" t="inlineStr"/>
      <c r="H296" t="n">
        <v>28</v>
      </c>
      <c r="L296" t="n">
        <v>31</v>
      </c>
      <c r="S296">
        <f>IF(COUNTIF(Draft!$C$5:$C$196,$B296)&gt;0,1,0)</f>
        <v/>
      </c>
      <c r="T296">
        <f>IF($S296=0,"",IFERROR(INDEX(Draft!$B$5:$B$196,MATCH($B296,Draft!$C$5:$C$196,0)),""))</f>
        <v/>
      </c>
      <c r="U296" t="n">
        <v>0</v>
      </c>
      <c r="V296">
        <f>IF($S296=1,-9999,$U296-ROW()/100000)</f>
        <v/>
      </c>
      <c r="W296">
        <f>IF($S296=1,"",SUMPRODUCT(($D$2:$D$301=$D296)*($V$2:$V$301&gt;$V296))+1)</f>
        <v/>
      </c>
      <c r="X296">
        <f>IF($S296=1,"",$U296-IFERROR(INDEX(Scarcity!$D$5:$D$9,MATCH($D296,Scarcity!$A$5:$A$9,0)),0))</f>
        <v/>
      </c>
    </row>
    <row r="297">
      <c r="A297" t="n">
        <v>296</v>
      </c>
      <c r="B297" t="inlineStr">
        <is>
          <t>Justus Annunen</t>
        </is>
      </c>
      <c r="C297" t="inlineStr">
        <is>
          <t>NSH</t>
        </is>
      </c>
      <c r="D297" t="inlineStr">
        <is>
          <t>G</t>
        </is>
      </c>
      <c r="E297" t="inlineStr">
        <is>
          <t>G</t>
        </is>
      </c>
      <c r="F297" t="inlineStr"/>
      <c r="H297" t="n">
        <v>27</v>
      </c>
      <c r="L297" t="n">
        <v>17.9</v>
      </c>
      <c r="S297">
        <f>IF(COUNTIF(Draft!$C$5:$C$196,$B297)&gt;0,1,0)</f>
        <v/>
      </c>
      <c r="T297">
        <f>IF($S297=0,"",IFERROR(INDEX(Draft!$B$5:$B$196,MATCH($B297,Draft!$C$5:$C$196,0)),""))</f>
        <v/>
      </c>
      <c r="U297" t="n">
        <v>0</v>
      </c>
      <c r="V297">
        <f>IF($S297=1,-9999,$U297-ROW()/100000)</f>
        <v/>
      </c>
      <c r="W297">
        <f>IF($S297=1,"",SUMPRODUCT(($D$2:$D$301=$D297)*($V$2:$V$301&gt;$V297))+1)</f>
        <v/>
      </c>
      <c r="X297">
        <f>IF($S297=1,"",$U297-IFERROR(INDEX(Scarcity!$D$5:$D$9,MATCH($D297,Scarcity!$A$5:$A$9,0)),0))</f>
        <v/>
      </c>
    </row>
    <row r="298">
      <c r="A298" t="n">
        <v>297</v>
      </c>
      <c r="B298" t="inlineStr">
        <is>
          <t>Ville Husso</t>
        </is>
      </c>
      <c r="C298" t="inlineStr">
        <is>
          <t>ANA</t>
        </is>
      </c>
      <c r="D298" t="inlineStr">
        <is>
          <t>G</t>
        </is>
      </c>
      <c r="E298" t="inlineStr">
        <is>
          <t>G</t>
        </is>
      </c>
      <c r="F298" t="inlineStr"/>
      <c r="H298" t="n">
        <v>26</v>
      </c>
      <c r="L298" t="n">
        <v>34.5</v>
      </c>
      <c r="S298">
        <f>IF(COUNTIF(Draft!$C$5:$C$196,$B298)&gt;0,1,0)</f>
        <v/>
      </c>
      <c r="T298">
        <f>IF($S298=0,"",IFERROR(INDEX(Draft!$B$5:$B$196,MATCH($B298,Draft!$C$5:$C$196,0)),""))</f>
        <v/>
      </c>
      <c r="U298" t="n">
        <v>0</v>
      </c>
      <c r="V298">
        <f>IF($S298=1,-9999,$U298-ROW()/100000)</f>
        <v/>
      </c>
      <c r="W298">
        <f>IF($S298=1,"",SUMPRODUCT(($D$2:$D$301=$D298)*($V$2:$V$301&gt;$V298))+1)</f>
        <v/>
      </c>
      <c r="X298">
        <f>IF($S298=1,"",$U298-IFERROR(INDEX(Scarcity!$D$5:$D$9,MATCH($D298,Scarcity!$A$5:$A$9,0)),0))</f>
        <v/>
      </c>
    </row>
    <row r="299">
      <c r="A299" t="n">
        <v>298</v>
      </c>
      <c r="B299" t="inlineStr">
        <is>
          <t>Jesper Wallstedt</t>
        </is>
      </c>
      <c r="C299" t="inlineStr">
        <is>
          <t>MIN</t>
        </is>
      </c>
      <c r="D299" t="inlineStr">
        <is>
          <t>G</t>
        </is>
      </c>
      <c r="E299" t="inlineStr">
        <is>
          <t>G</t>
        </is>
      </c>
      <c r="F299" t="inlineStr"/>
      <c r="H299" t="n">
        <v>24</v>
      </c>
      <c r="L299" t="n">
        <v>23.8</v>
      </c>
      <c r="S299">
        <f>IF(COUNTIF(Draft!$C$5:$C$196,$B299)&gt;0,1,0)</f>
        <v/>
      </c>
      <c r="T299">
        <f>IF($S299=0,"",IFERROR(INDEX(Draft!$B$5:$B$196,MATCH($B299,Draft!$C$5:$C$196,0)),""))</f>
        <v/>
      </c>
      <c r="U299" t="n">
        <v>0</v>
      </c>
      <c r="V299">
        <f>IF($S299=1,-9999,$U299-ROW()/100000)</f>
        <v/>
      </c>
      <c r="W299">
        <f>IF($S299=1,"",SUMPRODUCT(($D$2:$D$301=$D299)*($V$2:$V$301&gt;$V299))+1)</f>
        <v/>
      </c>
      <c r="X299">
        <f>IF($S299=1,"",$U299-IFERROR(INDEX(Scarcity!$D$5:$D$9,MATCH($D299,Scarcity!$A$5:$A$9,0)),0))</f>
        <v/>
      </c>
    </row>
    <row r="300">
      <c r="A300" t="n">
        <v>299</v>
      </c>
      <c r="B300" t="inlineStr">
        <is>
          <t>Jonas Johansson</t>
        </is>
      </c>
      <c r="C300" t="inlineStr">
        <is>
          <t>TBL</t>
        </is>
      </c>
      <c r="D300" t="inlineStr">
        <is>
          <t>G</t>
        </is>
      </c>
      <c r="E300" t="inlineStr">
        <is>
          <t>G</t>
        </is>
      </c>
      <c r="F300" t="inlineStr"/>
      <c r="H300" t="n">
        <v>22</v>
      </c>
      <c r="L300" t="n">
        <v>19</v>
      </c>
      <c r="S300">
        <f>IF(COUNTIF(Draft!$C$5:$C$196,$B300)&gt;0,1,0)</f>
        <v/>
      </c>
      <c r="T300">
        <f>IF($S300=0,"",IFERROR(INDEX(Draft!$B$5:$B$196,MATCH($B300,Draft!$C$5:$C$196,0)),""))</f>
        <v/>
      </c>
      <c r="U300" t="n">
        <v>0</v>
      </c>
      <c r="V300">
        <f>IF($S300=1,-9999,$U300-ROW()/100000)</f>
        <v/>
      </c>
      <c r="W300">
        <f>IF($S300=1,"",SUMPRODUCT(($D$2:$D$301=$D300)*($V$2:$V$301&gt;$V300))+1)</f>
        <v/>
      </c>
      <c r="X300">
        <f>IF($S300=1,"",$U300-IFERROR(INDEX(Scarcity!$D$5:$D$9,MATCH($D300,Scarcity!$A$5:$A$9,0)),0))</f>
        <v/>
      </c>
    </row>
    <row r="301">
      <c r="A301" t="n">
        <v>300</v>
      </c>
      <c r="B301" t="inlineStr">
        <is>
          <t>Devin Cooley</t>
        </is>
      </c>
      <c r="C301" t="inlineStr">
        <is>
          <t>CGY</t>
        </is>
      </c>
      <c r="D301" t="inlineStr">
        <is>
          <t>G</t>
        </is>
      </c>
      <c r="E301" t="inlineStr">
        <is>
          <t>G</t>
        </is>
      </c>
      <c r="F301" t="inlineStr"/>
      <c r="H301" t="n">
        <v>29</v>
      </c>
      <c r="L301" t="n">
        <v>26.2</v>
      </c>
      <c r="S301">
        <f>IF(COUNTIF(Draft!$C$5:$C$196,$B301)&gt;0,1,0)</f>
        <v/>
      </c>
      <c r="T301">
        <f>IF($S301=0,"",IFERROR(INDEX(Draft!$B$5:$B$196,MATCH($B301,Draft!$C$5:$C$196,0)),""))</f>
        <v/>
      </c>
      <c r="U301" t="n">
        <v>0</v>
      </c>
      <c r="V301">
        <f>IF($S301=1,-9999,$U301-ROW()/100000)</f>
        <v/>
      </c>
      <c r="W301">
        <f>IF($S301=1,"",SUMPRODUCT(($D$2:$D$301=$D301)*($V$2:$V$301&gt;$V301))+1)</f>
        <v/>
      </c>
      <c r="X301">
        <f>IF($S301=1,"",$U301-IFERROR(INDEX(Scarcity!$D$5:$D$9,MATCH($D301,Scarcity!$A$5:$A$9,0)),0))</f>
        <v/>
      </c>
    </row>
  </sheetData>
  <autoFilter ref="A1:X301"/>
  <conditionalFormatting sqref="A2:X301">
    <cfRule type="expression" priority="1" dxfId="9" stopIfTrue="0">
      <formula>$S2=1</formula>
    </cfRule>
  </conditionalFormatting>
  <conditionalFormatting sqref="U2:U301">
    <cfRule type="colorScale" priority="2">
      <colorScale>
        <cfvo type="percentile" val="5"/>
        <cfvo type="percentile" val="50"/>
        <cfvo type="percentile" val="95"/>
        <color rgb="FFF4C7C3"/>
        <color rgb="FFFDF6E3"/>
        <color rgb="FFB7D7A8"/>
      </colorScale>
    </cfRule>
  </conditionalFormatting>
  <conditionalFormatting sqref="X2:X301">
    <cfRule type="colorScale" priority="2">
      <colorScale>
        <cfvo type="percentile" val="5"/>
        <cfvo type="percentile" val="50"/>
        <cfvo type="percentile" val="95"/>
        <color rgb="FFF4C7C3"/>
        <color rgb="FFFDF6E3"/>
        <color rgb="FFB7D7A8"/>
      </colorScale>
    </cfRule>
  </conditionalFormatting>
  <conditionalFormatting sqref="D2:D301">
    <cfRule type="expression" priority="4" dxfId="3" stopIfTrue="0">
      <formula>$D2="C"</formula>
    </cfRule>
    <cfRule type="expression" priority="5" dxfId="4" stopIfTrue="0">
      <formula>$D2="L"</formula>
    </cfRule>
    <cfRule type="expression" priority="6" dxfId="5" stopIfTrue="0">
      <formula>$D2="R"</formula>
    </cfRule>
    <cfRule type="expression" priority="7" dxfId="6" stopIfTrue="0">
      <formula>$D2="D"</formula>
    </cfRule>
    <cfRule type="expression" priority="8" dxfId="7" stopIfTrue="0">
      <formula>$D2="G"</formula>
    </cfRule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7" customWidth="1" min="3" max="3"/>
    <col width="6" customWidth="1" min="4" max="4"/>
    <col width="7" customWidth="1" min="5" max="5"/>
    <col width="6" customWidth="1" min="6" max="6"/>
    <col width="7" customWidth="1" min="7" max="7"/>
  </cols>
  <sheetData>
    <row r="1">
      <c r="A1" s="27" t="inlineStr">
        <is>
          <t>My team</t>
        </is>
      </c>
      <c r="B1" s="30" t="inlineStr">
        <is>
          <t>Team 1</t>
        </is>
      </c>
    </row>
    <row r="3">
      <c r="A3" s="28" t="inlineStr">
        <is>
          <t>Pick</t>
        </is>
      </c>
      <c r="B3" s="28" t="inlineStr">
        <is>
          <t>Player</t>
        </is>
      </c>
      <c r="C3" s="28" t="inlineStr">
        <is>
          <t>Team</t>
        </is>
      </c>
      <c r="D3" s="28" t="inlineStr">
        <is>
          <t>Pos</t>
        </is>
      </c>
      <c r="E3" s="28" t="inlineStr">
        <is>
          <t>Role</t>
        </is>
      </c>
      <c r="F3" s="28" t="inlineStr">
        <is>
          <t>PP</t>
        </is>
      </c>
      <c r="G3" s="28" t="inlineStr">
        <is>
          <t>TOI</t>
        </is>
      </c>
      <c r="H3" s="28" t="inlineStr">
        <is>
          <t>G</t>
        </is>
      </c>
      <c r="I3" s="28" t="inlineStr">
        <is>
          <t>A</t>
        </is>
      </c>
      <c r="J3" s="28" t="inlineStr">
        <is>
          <t>PPP</t>
        </is>
      </c>
      <c r="K3" s="28" t="inlineStr">
        <is>
          <t>SOG</t>
        </is>
      </c>
      <c r="L3" s="28" t="inlineStr">
        <is>
          <t>HIT</t>
        </is>
      </c>
      <c r="M3" s="28" t="inlineStr">
        <is>
          <t>BLK</t>
        </is>
      </c>
    </row>
    <row r="4">
      <c r="A4" t="n">
        <v>1</v>
      </c>
      <c r="B4">
        <f>IFERROR(INDEX(Board!$B$2:$B$17,1),"")</f>
        <v/>
      </c>
      <c r="C4">
        <f>IF($B4="","",IFERROR(INDEX(Players!$C$2:$C$301,MATCH($B4,Players!$B$2:$B$301,0)),""))</f>
        <v/>
      </c>
      <c r="D4">
        <f>IF($B4="","",IFERROR(INDEX(Players!$D$2:$D$301,MATCH($B4,Players!$B$2:$B$301,0)),""))</f>
        <v/>
      </c>
      <c r="E4">
        <f>IF($B4="","",IFERROR(INDEX(Players!$E$2:$E$301,MATCH($B4,Players!$B$2:$B$301,0)),""))</f>
        <v/>
      </c>
      <c r="F4">
        <f>IF($B4="","",IFERROR(INDEX(Players!$F$2:$F$301,MATCH($B4,Players!$B$2:$B$301,0)),""))</f>
        <v/>
      </c>
      <c r="G4">
        <f>IF($B4="","",IFERROR(INDEX(Players!$G$2:$G$301,MATCH($B4,Players!$B$2:$B$301,0)),""))</f>
        <v/>
      </c>
      <c r="H4">
        <f>IF($B4="","",IFERROR(INDEX(Players!$M$2:$M$301,MATCH($B4,Players!$B$2:$B$301,0)),""))</f>
        <v/>
      </c>
      <c r="I4">
        <f>IF($B4="","",IFERROR(INDEX(Players!$N$2:$N$301,MATCH($B4,Players!$B$2:$B$301,0)),""))</f>
        <v/>
      </c>
      <c r="J4">
        <f>IF($B4="","",IFERROR(INDEX(Players!$O$2:$O$301,MATCH($B4,Players!$B$2:$B$301,0)),""))</f>
        <v/>
      </c>
      <c r="K4">
        <f>IF($B4="","",IFERROR(INDEX(Players!$P$2:$P$301,MATCH($B4,Players!$B$2:$B$301,0)),""))</f>
        <v/>
      </c>
      <c r="L4">
        <f>IF($B4="","",IFERROR(INDEX(Players!$Q$2:$Q$301,MATCH($B4,Players!$B$2:$B$301,0)),""))</f>
        <v/>
      </c>
      <c r="M4">
        <f>IF($B4="","",IFERROR(INDEX(Players!$R$2:$R$301,MATCH($B4,Players!$B$2:$B$301,0)),""))</f>
        <v/>
      </c>
    </row>
    <row r="5">
      <c r="A5" t="n">
        <v>2</v>
      </c>
      <c r="B5">
        <f>IFERROR(INDEX(Board!$B$2:$B$17,2),"")</f>
        <v/>
      </c>
      <c r="C5">
        <f>IF($B5="","",IFERROR(INDEX(Players!$C$2:$C$301,MATCH($B5,Players!$B$2:$B$301,0)),""))</f>
        <v/>
      </c>
      <c r="D5">
        <f>IF($B5="","",IFERROR(INDEX(Players!$D$2:$D$301,MATCH($B5,Players!$B$2:$B$301,0)),""))</f>
        <v/>
      </c>
      <c r="E5">
        <f>IF($B5="","",IFERROR(INDEX(Players!$E$2:$E$301,MATCH($B5,Players!$B$2:$B$301,0)),""))</f>
        <v/>
      </c>
      <c r="F5">
        <f>IF($B5="","",IFERROR(INDEX(Players!$F$2:$F$301,MATCH($B5,Players!$B$2:$B$301,0)),""))</f>
        <v/>
      </c>
      <c r="G5">
        <f>IF($B5="","",IFERROR(INDEX(Players!$G$2:$G$301,MATCH($B5,Players!$B$2:$B$301,0)),""))</f>
        <v/>
      </c>
      <c r="H5">
        <f>IF($B5="","",IFERROR(INDEX(Players!$M$2:$M$301,MATCH($B5,Players!$B$2:$B$301,0)),""))</f>
        <v/>
      </c>
      <c r="I5">
        <f>IF($B5="","",IFERROR(INDEX(Players!$N$2:$N$301,MATCH($B5,Players!$B$2:$B$301,0)),""))</f>
        <v/>
      </c>
      <c r="J5">
        <f>IF($B5="","",IFERROR(INDEX(Players!$O$2:$O$301,MATCH($B5,Players!$B$2:$B$301,0)),""))</f>
        <v/>
      </c>
      <c r="K5">
        <f>IF($B5="","",IFERROR(INDEX(Players!$P$2:$P$301,MATCH($B5,Players!$B$2:$B$301,0)),""))</f>
        <v/>
      </c>
      <c r="L5">
        <f>IF($B5="","",IFERROR(INDEX(Players!$Q$2:$Q$301,MATCH($B5,Players!$B$2:$B$301,0)),""))</f>
        <v/>
      </c>
      <c r="M5">
        <f>IF($B5="","",IFERROR(INDEX(Players!$R$2:$R$301,MATCH($B5,Players!$B$2:$B$301,0)),""))</f>
        <v/>
      </c>
    </row>
    <row r="6">
      <c r="A6" t="n">
        <v>3</v>
      </c>
      <c r="B6">
        <f>IFERROR(INDEX(Board!$B$2:$B$17,3),"")</f>
        <v/>
      </c>
      <c r="C6">
        <f>IF($B6="","",IFERROR(INDEX(Players!$C$2:$C$301,MATCH($B6,Players!$B$2:$B$301,0)),""))</f>
        <v/>
      </c>
      <c r="D6">
        <f>IF($B6="","",IFERROR(INDEX(Players!$D$2:$D$301,MATCH($B6,Players!$B$2:$B$301,0)),""))</f>
        <v/>
      </c>
      <c r="E6">
        <f>IF($B6="","",IFERROR(INDEX(Players!$E$2:$E$301,MATCH($B6,Players!$B$2:$B$301,0)),""))</f>
        <v/>
      </c>
      <c r="F6">
        <f>IF($B6="","",IFERROR(INDEX(Players!$F$2:$F$301,MATCH($B6,Players!$B$2:$B$301,0)),""))</f>
        <v/>
      </c>
      <c r="G6">
        <f>IF($B6="","",IFERROR(INDEX(Players!$G$2:$G$301,MATCH($B6,Players!$B$2:$B$301,0)),""))</f>
        <v/>
      </c>
      <c r="H6">
        <f>IF($B6="","",IFERROR(INDEX(Players!$M$2:$M$301,MATCH($B6,Players!$B$2:$B$301,0)),""))</f>
        <v/>
      </c>
      <c r="I6">
        <f>IF($B6="","",IFERROR(INDEX(Players!$N$2:$N$301,MATCH($B6,Players!$B$2:$B$301,0)),""))</f>
        <v/>
      </c>
      <c r="J6">
        <f>IF($B6="","",IFERROR(INDEX(Players!$O$2:$O$301,MATCH($B6,Players!$B$2:$B$301,0)),""))</f>
        <v/>
      </c>
      <c r="K6">
        <f>IF($B6="","",IFERROR(INDEX(Players!$P$2:$P$301,MATCH($B6,Players!$B$2:$B$301,0)),""))</f>
        <v/>
      </c>
      <c r="L6">
        <f>IF($B6="","",IFERROR(INDEX(Players!$Q$2:$Q$301,MATCH($B6,Players!$B$2:$B$301,0)),""))</f>
        <v/>
      </c>
      <c r="M6">
        <f>IF($B6="","",IFERROR(INDEX(Players!$R$2:$R$301,MATCH($B6,Players!$B$2:$B$301,0)),""))</f>
        <v/>
      </c>
    </row>
    <row r="7">
      <c r="A7" t="n">
        <v>4</v>
      </c>
      <c r="B7">
        <f>IFERROR(INDEX(Board!$B$2:$B$17,4),"")</f>
        <v/>
      </c>
      <c r="C7">
        <f>IF($B7="","",IFERROR(INDEX(Players!$C$2:$C$301,MATCH($B7,Players!$B$2:$B$301,0)),""))</f>
        <v/>
      </c>
      <c r="D7">
        <f>IF($B7="","",IFERROR(INDEX(Players!$D$2:$D$301,MATCH($B7,Players!$B$2:$B$301,0)),""))</f>
        <v/>
      </c>
      <c r="E7">
        <f>IF($B7="","",IFERROR(INDEX(Players!$E$2:$E$301,MATCH($B7,Players!$B$2:$B$301,0)),""))</f>
        <v/>
      </c>
      <c r="F7">
        <f>IF($B7="","",IFERROR(INDEX(Players!$F$2:$F$301,MATCH($B7,Players!$B$2:$B$301,0)),""))</f>
        <v/>
      </c>
      <c r="G7">
        <f>IF($B7="","",IFERROR(INDEX(Players!$G$2:$G$301,MATCH($B7,Players!$B$2:$B$301,0)),""))</f>
        <v/>
      </c>
      <c r="H7">
        <f>IF($B7="","",IFERROR(INDEX(Players!$M$2:$M$301,MATCH($B7,Players!$B$2:$B$301,0)),""))</f>
        <v/>
      </c>
      <c r="I7">
        <f>IF($B7="","",IFERROR(INDEX(Players!$N$2:$N$301,MATCH($B7,Players!$B$2:$B$301,0)),""))</f>
        <v/>
      </c>
      <c r="J7">
        <f>IF($B7="","",IFERROR(INDEX(Players!$O$2:$O$301,MATCH($B7,Players!$B$2:$B$301,0)),""))</f>
        <v/>
      </c>
      <c r="K7">
        <f>IF($B7="","",IFERROR(INDEX(Players!$P$2:$P$301,MATCH($B7,Players!$B$2:$B$301,0)),""))</f>
        <v/>
      </c>
      <c r="L7">
        <f>IF($B7="","",IFERROR(INDEX(Players!$Q$2:$Q$301,MATCH($B7,Players!$B$2:$B$301,0)),""))</f>
        <v/>
      </c>
      <c r="M7">
        <f>IF($B7="","",IFERROR(INDEX(Players!$R$2:$R$301,MATCH($B7,Players!$B$2:$B$301,0)),""))</f>
        <v/>
      </c>
    </row>
    <row r="8">
      <c r="A8" t="n">
        <v>5</v>
      </c>
      <c r="B8">
        <f>IFERROR(INDEX(Board!$B$2:$B$17,5),"")</f>
        <v/>
      </c>
      <c r="C8">
        <f>IF($B8="","",IFERROR(INDEX(Players!$C$2:$C$301,MATCH($B8,Players!$B$2:$B$301,0)),""))</f>
        <v/>
      </c>
      <c r="D8">
        <f>IF($B8="","",IFERROR(INDEX(Players!$D$2:$D$301,MATCH($B8,Players!$B$2:$B$301,0)),""))</f>
        <v/>
      </c>
      <c r="E8">
        <f>IF($B8="","",IFERROR(INDEX(Players!$E$2:$E$301,MATCH($B8,Players!$B$2:$B$301,0)),""))</f>
        <v/>
      </c>
      <c r="F8">
        <f>IF($B8="","",IFERROR(INDEX(Players!$F$2:$F$301,MATCH($B8,Players!$B$2:$B$301,0)),""))</f>
        <v/>
      </c>
      <c r="G8">
        <f>IF($B8="","",IFERROR(INDEX(Players!$G$2:$G$301,MATCH($B8,Players!$B$2:$B$301,0)),""))</f>
        <v/>
      </c>
      <c r="H8">
        <f>IF($B8="","",IFERROR(INDEX(Players!$M$2:$M$301,MATCH($B8,Players!$B$2:$B$301,0)),""))</f>
        <v/>
      </c>
      <c r="I8">
        <f>IF($B8="","",IFERROR(INDEX(Players!$N$2:$N$301,MATCH($B8,Players!$B$2:$B$301,0)),""))</f>
        <v/>
      </c>
      <c r="J8">
        <f>IF($B8="","",IFERROR(INDEX(Players!$O$2:$O$301,MATCH($B8,Players!$B$2:$B$301,0)),""))</f>
        <v/>
      </c>
      <c r="K8">
        <f>IF($B8="","",IFERROR(INDEX(Players!$P$2:$P$301,MATCH($B8,Players!$B$2:$B$301,0)),""))</f>
        <v/>
      </c>
      <c r="L8">
        <f>IF($B8="","",IFERROR(INDEX(Players!$Q$2:$Q$301,MATCH($B8,Players!$B$2:$B$301,0)),""))</f>
        <v/>
      </c>
      <c r="M8">
        <f>IF($B8="","",IFERROR(INDEX(Players!$R$2:$R$301,MATCH($B8,Players!$B$2:$B$301,0)),""))</f>
        <v/>
      </c>
    </row>
    <row r="9">
      <c r="A9" t="n">
        <v>6</v>
      </c>
      <c r="B9">
        <f>IFERROR(INDEX(Board!$B$2:$B$17,6),"")</f>
        <v/>
      </c>
      <c r="C9">
        <f>IF($B9="","",IFERROR(INDEX(Players!$C$2:$C$301,MATCH($B9,Players!$B$2:$B$301,0)),""))</f>
        <v/>
      </c>
      <c r="D9">
        <f>IF($B9="","",IFERROR(INDEX(Players!$D$2:$D$301,MATCH($B9,Players!$B$2:$B$301,0)),""))</f>
        <v/>
      </c>
      <c r="E9">
        <f>IF($B9="","",IFERROR(INDEX(Players!$E$2:$E$301,MATCH($B9,Players!$B$2:$B$301,0)),""))</f>
        <v/>
      </c>
      <c r="F9">
        <f>IF($B9="","",IFERROR(INDEX(Players!$F$2:$F$301,MATCH($B9,Players!$B$2:$B$301,0)),""))</f>
        <v/>
      </c>
      <c r="G9">
        <f>IF($B9="","",IFERROR(INDEX(Players!$G$2:$G$301,MATCH($B9,Players!$B$2:$B$301,0)),""))</f>
        <v/>
      </c>
      <c r="H9">
        <f>IF($B9="","",IFERROR(INDEX(Players!$M$2:$M$301,MATCH($B9,Players!$B$2:$B$301,0)),""))</f>
        <v/>
      </c>
      <c r="I9">
        <f>IF($B9="","",IFERROR(INDEX(Players!$N$2:$N$301,MATCH($B9,Players!$B$2:$B$301,0)),""))</f>
        <v/>
      </c>
      <c r="J9">
        <f>IF($B9="","",IFERROR(INDEX(Players!$O$2:$O$301,MATCH($B9,Players!$B$2:$B$301,0)),""))</f>
        <v/>
      </c>
      <c r="K9">
        <f>IF($B9="","",IFERROR(INDEX(Players!$P$2:$P$301,MATCH($B9,Players!$B$2:$B$301,0)),""))</f>
        <v/>
      </c>
      <c r="L9">
        <f>IF($B9="","",IFERROR(INDEX(Players!$Q$2:$Q$301,MATCH($B9,Players!$B$2:$B$301,0)),""))</f>
        <v/>
      </c>
      <c r="M9">
        <f>IF($B9="","",IFERROR(INDEX(Players!$R$2:$R$301,MATCH($B9,Players!$B$2:$B$301,0)),""))</f>
        <v/>
      </c>
    </row>
    <row r="10">
      <c r="A10" t="n">
        <v>7</v>
      </c>
      <c r="B10">
        <f>IFERROR(INDEX(Board!$B$2:$B$17,7),"")</f>
        <v/>
      </c>
      <c r="C10">
        <f>IF($B10="","",IFERROR(INDEX(Players!$C$2:$C$301,MATCH($B10,Players!$B$2:$B$301,0)),""))</f>
        <v/>
      </c>
      <c r="D10">
        <f>IF($B10="","",IFERROR(INDEX(Players!$D$2:$D$301,MATCH($B10,Players!$B$2:$B$301,0)),""))</f>
        <v/>
      </c>
      <c r="E10">
        <f>IF($B10="","",IFERROR(INDEX(Players!$E$2:$E$301,MATCH($B10,Players!$B$2:$B$301,0)),""))</f>
        <v/>
      </c>
      <c r="F10">
        <f>IF($B10="","",IFERROR(INDEX(Players!$F$2:$F$301,MATCH($B10,Players!$B$2:$B$301,0)),""))</f>
        <v/>
      </c>
      <c r="G10">
        <f>IF($B10="","",IFERROR(INDEX(Players!$G$2:$G$301,MATCH($B10,Players!$B$2:$B$301,0)),""))</f>
        <v/>
      </c>
      <c r="H10">
        <f>IF($B10="","",IFERROR(INDEX(Players!$M$2:$M$301,MATCH($B10,Players!$B$2:$B$301,0)),""))</f>
        <v/>
      </c>
      <c r="I10">
        <f>IF($B10="","",IFERROR(INDEX(Players!$N$2:$N$301,MATCH($B10,Players!$B$2:$B$301,0)),""))</f>
        <v/>
      </c>
      <c r="J10">
        <f>IF($B10="","",IFERROR(INDEX(Players!$O$2:$O$301,MATCH($B10,Players!$B$2:$B$301,0)),""))</f>
        <v/>
      </c>
      <c r="K10">
        <f>IF($B10="","",IFERROR(INDEX(Players!$P$2:$P$301,MATCH($B10,Players!$B$2:$B$301,0)),""))</f>
        <v/>
      </c>
      <c r="L10">
        <f>IF($B10="","",IFERROR(INDEX(Players!$Q$2:$Q$301,MATCH($B10,Players!$B$2:$B$301,0)),""))</f>
        <v/>
      </c>
      <c r="M10">
        <f>IF($B10="","",IFERROR(INDEX(Players!$R$2:$R$301,MATCH($B10,Players!$B$2:$B$301,0)),""))</f>
        <v/>
      </c>
    </row>
    <row r="11">
      <c r="A11" t="n">
        <v>8</v>
      </c>
      <c r="B11">
        <f>IFERROR(INDEX(Board!$B$2:$B$17,8),"")</f>
        <v/>
      </c>
      <c r="C11">
        <f>IF($B11="","",IFERROR(INDEX(Players!$C$2:$C$301,MATCH($B11,Players!$B$2:$B$301,0)),""))</f>
        <v/>
      </c>
      <c r="D11">
        <f>IF($B11="","",IFERROR(INDEX(Players!$D$2:$D$301,MATCH($B11,Players!$B$2:$B$301,0)),""))</f>
        <v/>
      </c>
      <c r="E11">
        <f>IF($B11="","",IFERROR(INDEX(Players!$E$2:$E$301,MATCH($B11,Players!$B$2:$B$301,0)),""))</f>
        <v/>
      </c>
      <c r="F11">
        <f>IF($B11="","",IFERROR(INDEX(Players!$F$2:$F$301,MATCH($B11,Players!$B$2:$B$301,0)),""))</f>
        <v/>
      </c>
      <c r="G11">
        <f>IF($B11="","",IFERROR(INDEX(Players!$G$2:$G$301,MATCH($B11,Players!$B$2:$B$301,0)),""))</f>
        <v/>
      </c>
      <c r="H11">
        <f>IF($B11="","",IFERROR(INDEX(Players!$M$2:$M$301,MATCH($B11,Players!$B$2:$B$301,0)),""))</f>
        <v/>
      </c>
      <c r="I11">
        <f>IF($B11="","",IFERROR(INDEX(Players!$N$2:$N$301,MATCH($B11,Players!$B$2:$B$301,0)),""))</f>
        <v/>
      </c>
      <c r="J11">
        <f>IF($B11="","",IFERROR(INDEX(Players!$O$2:$O$301,MATCH($B11,Players!$B$2:$B$301,0)),""))</f>
        <v/>
      </c>
      <c r="K11">
        <f>IF($B11="","",IFERROR(INDEX(Players!$P$2:$P$301,MATCH($B11,Players!$B$2:$B$301,0)),""))</f>
        <v/>
      </c>
      <c r="L11">
        <f>IF($B11="","",IFERROR(INDEX(Players!$Q$2:$Q$301,MATCH($B11,Players!$B$2:$B$301,0)),""))</f>
        <v/>
      </c>
      <c r="M11">
        <f>IF($B11="","",IFERROR(INDEX(Players!$R$2:$R$301,MATCH($B11,Players!$B$2:$B$301,0)),""))</f>
        <v/>
      </c>
    </row>
    <row r="12">
      <c r="A12" t="n">
        <v>9</v>
      </c>
      <c r="B12">
        <f>IFERROR(INDEX(Board!$B$2:$B$17,9),"")</f>
        <v/>
      </c>
      <c r="C12">
        <f>IF($B12="","",IFERROR(INDEX(Players!$C$2:$C$301,MATCH($B12,Players!$B$2:$B$301,0)),""))</f>
        <v/>
      </c>
      <c r="D12">
        <f>IF($B12="","",IFERROR(INDEX(Players!$D$2:$D$301,MATCH($B12,Players!$B$2:$B$301,0)),""))</f>
        <v/>
      </c>
      <c r="E12">
        <f>IF($B12="","",IFERROR(INDEX(Players!$E$2:$E$301,MATCH($B12,Players!$B$2:$B$301,0)),""))</f>
        <v/>
      </c>
      <c r="F12">
        <f>IF($B12="","",IFERROR(INDEX(Players!$F$2:$F$301,MATCH($B12,Players!$B$2:$B$301,0)),""))</f>
        <v/>
      </c>
      <c r="G12">
        <f>IF($B12="","",IFERROR(INDEX(Players!$G$2:$G$301,MATCH($B12,Players!$B$2:$B$301,0)),""))</f>
        <v/>
      </c>
      <c r="H12">
        <f>IF($B12="","",IFERROR(INDEX(Players!$M$2:$M$301,MATCH($B12,Players!$B$2:$B$301,0)),""))</f>
        <v/>
      </c>
      <c r="I12">
        <f>IF($B12="","",IFERROR(INDEX(Players!$N$2:$N$301,MATCH($B12,Players!$B$2:$B$301,0)),""))</f>
        <v/>
      </c>
      <c r="J12">
        <f>IF($B12="","",IFERROR(INDEX(Players!$O$2:$O$301,MATCH($B12,Players!$B$2:$B$301,0)),""))</f>
        <v/>
      </c>
      <c r="K12">
        <f>IF($B12="","",IFERROR(INDEX(Players!$P$2:$P$301,MATCH($B12,Players!$B$2:$B$301,0)),""))</f>
        <v/>
      </c>
      <c r="L12">
        <f>IF($B12="","",IFERROR(INDEX(Players!$Q$2:$Q$301,MATCH($B12,Players!$B$2:$B$301,0)),""))</f>
        <v/>
      </c>
      <c r="M12">
        <f>IF($B12="","",IFERROR(INDEX(Players!$R$2:$R$301,MATCH($B12,Players!$B$2:$B$301,0)),""))</f>
        <v/>
      </c>
    </row>
    <row r="13">
      <c r="A13" t="n">
        <v>10</v>
      </c>
      <c r="B13">
        <f>IFERROR(INDEX(Board!$B$2:$B$17,10),"")</f>
        <v/>
      </c>
      <c r="C13">
        <f>IF($B13="","",IFERROR(INDEX(Players!$C$2:$C$301,MATCH($B13,Players!$B$2:$B$301,0)),""))</f>
        <v/>
      </c>
      <c r="D13">
        <f>IF($B13="","",IFERROR(INDEX(Players!$D$2:$D$301,MATCH($B13,Players!$B$2:$B$301,0)),""))</f>
        <v/>
      </c>
      <c r="E13">
        <f>IF($B13="","",IFERROR(INDEX(Players!$E$2:$E$301,MATCH($B13,Players!$B$2:$B$301,0)),""))</f>
        <v/>
      </c>
      <c r="F13">
        <f>IF($B13="","",IFERROR(INDEX(Players!$F$2:$F$301,MATCH($B13,Players!$B$2:$B$301,0)),""))</f>
        <v/>
      </c>
      <c r="G13">
        <f>IF($B13="","",IFERROR(INDEX(Players!$G$2:$G$301,MATCH($B13,Players!$B$2:$B$301,0)),""))</f>
        <v/>
      </c>
      <c r="H13">
        <f>IF($B13="","",IFERROR(INDEX(Players!$M$2:$M$301,MATCH($B13,Players!$B$2:$B$301,0)),""))</f>
        <v/>
      </c>
      <c r="I13">
        <f>IF($B13="","",IFERROR(INDEX(Players!$N$2:$N$301,MATCH($B13,Players!$B$2:$B$301,0)),""))</f>
        <v/>
      </c>
      <c r="J13">
        <f>IF($B13="","",IFERROR(INDEX(Players!$O$2:$O$301,MATCH($B13,Players!$B$2:$B$301,0)),""))</f>
        <v/>
      </c>
      <c r="K13">
        <f>IF($B13="","",IFERROR(INDEX(Players!$P$2:$P$301,MATCH($B13,Players!$B$2:$B$301,0)),""))</f>
        <v/>
      </c>
      <c r="L13">
        <f>IF($B13="","",IFERROR(INDEX(Players!$Q$2:$Q$301,MATCH($B13,Players!$B$2:$B$301,0)),""))</f>
        <v/>
      </c>
      <c r="M13">
        <f>IF($B13="","",IFERROR(INDEX(Players!$R$2:$R$301,MATCH($B13,Players!$B$2:$B$301,0)),""))</f>
        <v/>
      </c>
    </row>
    <row r="14">
      <c r="A14" t="n">
        <v>11</v>
      </c>
      <c r="B14">
        <f>IFERROR(INDEX(Board!$B$2:$B$17,11),"")</f>
        <v/>
      </c>
      <c r="C14">
        <f>IF($B14="","",IFERROR(INDEX(Players!$C$2:$C$301,MATCH($B14,Players!$B$2:$B$301,0)),""))</f>
        <v/>
      </c>
      <c r="D14">
        <f>IF($B14="","",IFERROR(INDEX(Players!$D$2:$D$301,MATCH($B14,Players!$B$2:$B$301,0)),""))</f>
        <v/>
      </c>
      <c r="E14">
        <f>IF($B14="","",IFERROR(INDEX(Players!$E$2:$E$301,MATCH($B14,Players!$B$2:$B$301,0)),""))</f>
        <v/>
      </c>
      <c r="F14">
        <f>IF($B14="","",IFERROR(INDEX(Players!$F$2:$F$301,MATCH($B14,Players!$B$2:$B$301,0)),""))</f>
        <v/>
      </c>
      <c r="G14">
        <f>IF($B14="","",IFERROR(INDEX(Players!$G$2:$G$301,MATCH($B14,Players!$B$2:$B$301,0)),""))</f>
        <v/>
      </c>
      <c r="H14">
        <f>IF($B14="","",IFERROR(INDEX(Players!$M$2:$M$301,MATCH($B14,Players!$B$2:$B$301,0)),""))</f>
        <v/>
      </c>
      <c r="I14">
        <f>IF($B14="","",IFERROR(INDEX(Players!$N$2:$N$301,MATCH($B14,Players!$B$2:$B$301,0)),""))</f>
        <v/>
      </c>
      <c r="J14">
        <f>IF($B14="","",IFERROR(INDEX(Players!$O$2:$O$301,MATCH($B14,Players!$B$2:$B$301,0)),""))</f>
        <v/>
      </c>
      <c r="K14">
        <f>IF($B14="","",IFERROR(INDEX(Players!$P$2:$P$301,MATCH($B14,Players!$B$2:$B$301,0)),""))</f>
        <v/>
      </c>
      <c r="L14">
        <f>IF($B14="","",IFERROR(INDEX(Players!$Q$2:$Q$301,MATCH($B14,Players!$B$2:$B$301,0)),""))</f>
        <v/>
      </c>
      <c r="M14">
        <f>IF($B14="","",IFERROR(INDEX(Players!$R$2:$R$301,MATCH($B14,Players!$B$2:$B$301,0)),""))</f>
        <v/>
      </c>
    </row>
    <row r="15">
      <c r="A15" t="n">
        <v>12</v>
      </c>
      <c r="B15">
        <f>IFERROR(INDEX(Board!$B$2:$B$17,12),"")</f>
        <v/>
      </c>
      <c r="C15">
        <f>IF($B15="","",IFERROR(INDEX(Players!$C$2:$C$301,MATCH($B15,Players!$B$2:$B$301,0)),""))</f>
        <v/>
      </c>
      <c r="D15">
        <f>IF($B15="","",IFERROR(INDEX(Players!$D$2:$D$301,MATCH($B15,Players!$B$2:$B$301,0)),""))</f>
        <v/>
      </c>
      <c r="E15">
        <f>IF($B15="","",IFERROR(INDEX(Players!$E$2:$E$301,MATCH($B15,Players!$B$2:$B$301,0)),""))</f>
        <v/>
      </c>
      <c r="F15">
        <f>IF($B15="","",IFERROR(INDEX(Players!$F$2:$F$301,MATCH($B15,Players!$B$2:$B$301,0)),""))</f>
        <v/>
      </c>
      <c r="G15">
        <f>IF($B15="","",IFERROR(INDEX(Players!$G$2:$G$301,MATCH($B15,Players!$B$2:$B$301,0)),""))</f>
        <v/>
      </c>
      <c r="H15">
        <f>IF($B15="","",IFERROR(INDEX(Players!$M$2:$M$301,MATCH($B15,Players!$B$2:$B$301,0)),""))</f>
        <v/>
      </c>
      <c r="I15">
        <f>IF($B15="","",IFERROR(INDEX(Players!$N$2:$N$301,MATCH($B15,Players!$B$2:$B$301,0)),""))</f>
        <v/>
      </c>
      <c r="J15">
        <f>IF($B15="","",IFERROR(INDEX(Players!$O$2:$O$301,MATCH($B15,Players!$B$2:$B$301,0)),""))</f>
        <v/>
      </c>
      <c r="K15">
        <f>IF($B15="","",IFERROR(INDEX(Players!$P$2:$P$301,MATCH($B15,Players!$B$2:$B$301,0)),""))</f>
        <v/>
      </c>
      <c r="L15">
        <f>IF($B15="","",IFERROR(INDEX(Players!$Q$2:$Q$301,MATCH($B15,Players!$B$2:$B$301,0)),""))</f>
        <v/>
      </c>
      <c r="M15">
        <f>IF($B15="","",IFERROR(INDEX(Players!$R$2:$R$301,MATCH($B15,Players!$B$2:$B$301,0)),""))</f>
        <v/>
      </c>
    </row>
    <row r="16">
      <c r="A16" t="n">
        <v>13</v>
      </c>
      <c r="B16">
        <f>IFERROR(INDEX(Board!$B$2:$B$17,13),"")</f>
        <v/>
      </c>
      <c r="C16">
        <f>IF($B16="","",IFERROR(INDEX(Players!$C$2:$C$301,MATCH($B16,Players!$B$2:$B$301,0)),""))</f>
        <v/>
      </c>
      <c r="D16">
        <f>IF($B16="","",IFERROR(INDEX(Players!$D$2:$D$301,MATCH($B16,Players!$B$2:$B$301,0)),""))</f>
        <v/>
      </c>
      <c r="E16">
        <f>IF($B16="","",IFERROR(INDEX(Players!$E$2:$E$301,MATCH($B16,Players!$B$2:$B$301,0)),""))</f>
        <v/>
      </c>
      <c r="F16">
        <f>IF($B16="","",IFERROR(INDEX(Players!$F$2:$F$301,MATCH($B16,Players!$B$2:$B$301,0)),""))</f>
        <v/>
      </c>
      <c r="G16">
        <f>IF($B16="","",IFERROR(INDEX(Players!$G$2:$G$301,MATCH($B16,Players!$B$2:$B$301,0)),""))</f>
        <v/>
      </c>
      <c r="H16">
        <f>IF($B16="","",IFERROR(INDEX(Players!$M$2:$M$301,MATCH($B16,Players!$B$2:$B$301,0)),""))</f>
        <v/>
      </c>
      <c r="I16">
        <f>IF($B16="","",IFERROR(INDEX(Players!$N$2:$N$301,MATCH($B16,Players!$B$2:$B$301,0)),""))</f>
        <v/>
      </c>
      <c r="J16">
        <f>IF($B16="","",IFERROR(INDEX(Players!$O$2:$O$301,MATCH($B16,Players!$B$2:$B$301,0)),""))</f>
        <v/>
      </c>
      <c r="K16">
        <f>IF($B16="","",IFERROR(INDEX(Players!$P$2:$P$301,MATCH($B16,Players!$B$2:$B$301,0)),""))</f>
        <v/>
      </c>
      <c r="L16">
        <f>IF($B16="","",IFERROR(INDEX(Players!$Q$2:$Q$301,MATCH($B16,Players!$B$2:$B$301,0)),""))</f>
        <v/>
      </c>
      <c r="M16">
        <f>IF($B16="","",IFERROR(INDEX(Players!$R$2:$R$301,MATCH($B16,Players!$B$2:$B$301,0)),""))</f>
        <v/>
      </c>
    </row>
    <row r="17">
      <c r="A17" t="n">
        <v>14</v>
      </c>
      <c r="B17">
        <f>IFERROR(INDEX(Board!$B$2:$B$17,14),"")</f>
        <v/>
      </c>
      <c r="C17">
        <f>IF($B17="","",IFERROR(INDEX(Players!$C$2:$C$301,MATCH($B17,Players!$B$2:$B$301,0)),""))</f>
        <v/>
      </c>
      <c r="D17">
        <f>IF($B17="","",IFERROR(INDEX(Players!$D$2:$D$301,MATCH($B17,Players!$B$2:$B$301,0)),""))</f>
        <v/>
      </c>
      <c r="E17">
        <f>IF($B17="","",IFERROR(INDEX(Players!$E$2:$E$301,MATCH($B17,Players!$B$2:$B$301,0)),""))</f>
        <v/>
      </c>
      <c r="F17">
        <f>IF($B17="","",IFERROR(INDEX(Players!$F$2:$F$301,MATCH($B17,Players!$B$2:$B$301,0)),""))</f>
        <v/>
      </c>
      <c r="G17">
        <f>IF($B17="","",IFERROR(INDEX(Players!$G$2:$G$301,MATCH($B17,Players!$B$2:$B$301,0)),""))</f>
        <v/>
      </c>
      <c r="H17">
        <f>IF($B17="","",IFERROR(INDEX(Players!$M$2:$M$301,MATCH($B17,Players!$B$2:$B$301,0)),""))</f>
        <v/>
      </c>
      <c r="I17">
        <f>IF($B17="","",IFERROR(INDEX(Players!$N$2:$N$301,MATCH($B17,Players!$B$2:$B$301,0)),""))</f>
        <v/>
      </c>
      <c r="J17">
        <f>IF($B17="","",IFERROR(INDEX(Players!$O$2:$O$301,MATCH($B17,Players!$B$2:$B$301,0)),""))</f>
        <v/>
      </c>
      <c r="K17">
        <f>IF($B17="","",IFERROR(INDEX(Players!$P$2:$P$301,MATCH($B17,Players!$B$2:$B$301,0)),""))</f>
        <v/>
      </c>
      <c r="L17">
        <f>IF($B17="","",IFERROR(INDEX(Players!$Q$2:$Q$301,MATCH($B17,Players!$B$2:$B$301,0)),""))</f>
        <v/>
      </c>
      <c r="M17">
        <f>IF($B17="","",IFERROR(INDEX(Players!$R$2:$R$301,MATCH($B17,Players!$B$2:$B$301,0)),""))</f>
        <v/>
      </c>
    </row>
    <row r="18">
      <c r="A18" t="n">
        <v>15</v>
      </c>
      <c r="B18">
        <f>IFERROR(INDEX(Board!$B$2:$B$17,15),"")</f>
        <v/>
      </c>
      <c r="C18">
        <f>IF($B18="","",IFERROR(INDEX(Players!$C$2:$C$301,MATCH($B18,Players!$B$2:$B$301,0)),""))</f>
        <v/>
      </c>
      <c r="D18">
        <f>IF($B18="","",IFERROR(INDEX(Players!$D$2:$D$301,MATCH($B18,Players!$B$2:$B$301,0)),""))</f>
        <v/>
      </c>
      <c r="E18">
        <f>IF($B18="","",IFERROR(INDEX(Players!$E$2:$E$301,MATCH($B18,Players!$B$2:$B$301,0)),""))</f>
        <v/>
      </c>
      <c r="F18">
        <f>IF($B18="","",IFERROR(INDEX(Players!$F$2:$F$301,MATCH($B18,Players!$B$2:$B$301,0)),""))</f>
        <v/>
      </c>
      <c r="G18">
        <f>IF($B18="","",IFERROR(INDEX(Players!$G$2:$G$301,MATCH($B18,Players!$B$2:$B$301,0)),""))</f>
        <v/>
      </c>
      <c r="H18">
        <f>IF($B18="","",IFERROR(INDEX(Players!$M$2:$M$301,MATCH($B18,Players!$B$2:$B$301,0)),""))</f>
        <v/>
      </c>
      <c r="I18">
        <f>IF($B18="","",IFERROR(INDEX(Players!$N$2:$N$301,MATCH($B18,Players!$B$2:$B$301,0)),""))</f>
        <v/>
      </c>
      <c r="J18">
        <f>IF($B18="","",IFERROR(INDEX(Players!$O$2:$O$301,MATCH($B18,Players!$B$2:$B$301,0)),""))</f>
        <v/>
      </c>
      <c r="K18">
        <f>IF($B18="","",IFERROR(INDEX(Players!$P$2:$P$301,MATCH($B18,Players!$B$2:$B$301,0)),""))</f>
        <v/>
      </c>
      <c r="L18">
        <f>IF($B18="","",IFERROR(INDEX(Players!$Q$2:$Q$301,MATCH($B18,Players!$B$2:$B$301,0)),""))</f>
        <v/>
      </c>
      <c r="M18">
        <f>IF($B18="","",IFERROR(INDEX(Players!$R$2:$R$301,MATCH($B18,Players!$B$2:$B$301,0)),""))</f>
        <v/>
      </c>
    </row>
    <row r="19">
      <c r="A19" t="n">
        <v>16</v>
      </c>
      <c r="B19">
        <f>IFERROR(INDEX(Board!$B$2:$B$17,16),"")</f>
        <v/>
      </c>
      <c r="C19">
        <f>IF($B19="","",IFERROR(INDEX(Players!$C$2:$C$301,MATCH($B19,Players!$B$2:$B$301,0)),""))</f>
        <v/>
      </c>
      <c r="D19">
        <f>IF($B19="","",IFERROR(INDEX(Players!$D$2:$D$301,MATCH($B19,Players!$B$2:$B$301,0)),""))</f>
        <v/>
      </c>
      <c r="E19">
        <f>IF($B19="","",IFERROR(INDEX(Players!$E$2:$E$301,MATCH($B19,Players!$B$2:$B$301,0)),""))</f>
        <v/>
      </c>
      <c r="F19">
        <f>IF($B19="","",IFERROR(INDEX(Players!$F$2:$F$301,MATCH($B19,Players!$B$2:$B$301,0)),""))</f>
        <v/>
      </c>
      <c r="G19">
        <f>IF($B19="","",IFERROR(INDEX(Players!$G$2:$G$301,MATCH($B19,Players!$B$2:$B$301,0)),""))</f>
        <v/>
      </c>
      <c r="H19">
        <f>IF($B19="","",IFERROR(INDEX(Players!$M$2:$M$301,MATCH($B19,Players!$B$2:$B$301,0)),""))</f>
        <v/>
      </c>
      <c r="I19">
        <f>IF($B19="","",IFERROR(INDEX(Players!$N$2:$N$301,MATCH($B19,Players!$B$2:$B$301,0)),""))</f>
        <v/>
      </c>
      <c r="J19">
        <f>IF($B19="","",IFERROR(INDEX(Players!$O$2:$O$301,MATCH($B19,Players!$B$2:$B$301,0)),""))</f>
        <v/>
      </c>
      <c r="K19">
        <f>IF($B19="","",IFERROR(INDEX(Players!$P$2:$P$301,MATCH($B19,Players!$B$2:$B$301,0)),""))</f>
        <v/>
      </c>
      <c r="L19">
        <f>IF($B19="","",IFERROR(INDEX(Players!$Q$2:$Q$301,MATCH($B19,Players!$B$2:$B$301,0)),""))</f>
        <v/>
      </c>
      <c r="M19">
        <f>IF($B19="","",IFERROR(INDEX(Players!$R$2:$R$301,MATCH($B19,Players!$B$2:$B$301,0)),""))</f>
        <v/>
      </c>
    </row>
    <row r="20">
      <c r="B20" s="29" t="inlineStr">
        <is>
          <t>TOTAL</t>
        </is>
      </c>
      <c r="H20" s="31">
        <f>SUM(H4:H19)</f>
        <v/>
      </c>
      <c r="I20" s="31">
        <f>SUM(I4:I19)</f>
        <v/>
      </c>
      <c r="J20" s="31">
        <f>SUM(J4:J19)</f>
        <v/>
      </c>
      <c r="K20" s="31">
        <f>SUM(K4:K19)</f>
        <v/>
      </c>
      <c r="L20" s="31">
        <f>SUM(L4:L19)</f>
        <v/>
      </c>
      <c r="M20" s="31">
        <f>SUM(M4:M19)</f>
        <v/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230"/>
  <sheetViews>
    <sheetView workbookViewId="0">
      <selection activeCell="A1" sqref="A1"/>
    </sheetView>
  </sheetViews>
  <sheetFormatPr baseColWidth="8" defaultRowHeight="15"/>
  <cols>
    <col width="6" customWidth="1" min="1" max="1"/>
    <col width="24" customWidth="1" min="2" max="2"/>
    <col width="7" customWidth="1" min="3" max="3"/>
    <col width="6" customWidth="1" min="4" max="4"/>
  </cols>
  <sheetData>
    <row r="1">
      <c r="A1" s="27" t="inlineStr">
        <is>
          <t>Every roster</t>
        </is>
      </c>
    </row>
    <row r="2">
      <c r="A2" s="26" t="inlineStr">
        <is>
          <t>Filled from the Board. Each block totals the categories this league counts; the Standings sheet ranks those totals.</t>
        </is>
      </c>
    </row>
    <row r="3">
      <c r="A3" s="32" t="inlineStr">
        <is>
          <t>Team 1</t>
        </is>
      </c>
    </row>
    <row r="4">
      <c r="A4" s="23" t="inlineStr">
        <is>
          <t>Pick</t>
        </is>
      </c>
      <c r="B4" s="23" t="inlineStr">
        <is>
          <t>Player</t>
        </is>
      </c>
      <c r="C4" s="23" t="inlineStr">
        <is>
          <t>Team</t>
        </is>
      </c>
      <c r="D4" s="23" t="inlineStr">
        <is>
          <t>Pos</t>
        </is>
      </c>
      <c r="E4" s="23" t="inlineStr">
        <is>
          <t>G</t>
        </is>
      </c>
      <c r="F4" s="23" t="inlineStr">
        <is>
          <t>A</t>
        </is>
      </c>
      <c r="G4" s="23" t="inlineStr">
        <is>
          <t>PPP</t>
        </is>
      </c>
      <c r="H4" s="23" t="inlineStr">
        <is>
          <t>SOG</t>
        </is>
      </c>
      <c r="I4" s="23" t="inlineStr">
        <is>
          <t>HIT</t>
        </is>
      </c>
      <c r="J4" s="23" t="inlineStr">
        <is>
          <t>BLK</t>
        </is>
      </c>
    </row>
    <row r="5">
      <c r="A5" t="n">
        <v>1</v>
      </c>
      <c r="B5">
        <f>IFERROR(INDEX(Board!$B$2:$B$17,1),"")</f>
        <v/>
      </c>
      <c r="C5">
        <f>IF($B5="","",IFERROR(INDEX(Players!$C$2:$C$301,MATCH($B5,Players!$B$2:$B$301,0)),""))</f>
        <v/>
      </c>
      <c r="D5">
        <f>IF($B5="","",IFERROR(INDEX(Players!$D$2:$D$301,MATCH($B5,Players!$B$2:$B$301,0)),""))</f>
        <v/>
      </c>
      <c r="E5">
        <f>IF($B5="","",IFERROR(INDEX(Players!$M$2:$M$301,MATCH($B5,Players!$B$2:$B$301,0)),""))</f>
        <v/>
      </c>
      <c r="F5">
        <f>IF($B5="","",IFERROR(INDEX(Players!$N$2:$N$301,MATCH($B5,Players!$B$2:$B$301,0)),""))</f>
        <v/>
      </c>
      <c r="G5">
        <f>IF($B5="","",IFERROR(INDEX(Players!$O$2:$O$301,MATCH($B5,Players!$B$2:$B$301,0)),""))</f>
        <v/>
      </c>
      <c r="H5">
        <f>IF($B5="","",IFERROR(INDEX(Players!$P$2:$P$301,MATCH($B5,Players!$B$2:$B$301,0)),""))</f>
        <v/>
      </c>
      <c r="I5">
        <f>IF($B5="","",IFERROR(INDEX(Players!$Q$2:$Q$301,MATCH($B5,Players!$B$2:$B$301,0)),""))</f>
        <v/>
      </c>
      <c r="J5">
        <f>IF($B5="","",IFERROR(INDEX(Players!$R$2:$R$301,MATCH($B5,Players!$B$2:$B$301,0)),""))</f>
        <v/>
      </c>
    </row>
    <row r="6">
      <c r="A6" t="n">
        <v>2</v>
      </c>
      <c r="B6">
        <f>IFERROR(INDEX(Board!$B$2:$B$17,2),"")</f>
        <v/>
      </c>
      <c r="C6">
        <f>IF($B6="","",IFERROR(INDEX(Players!$C$2:$C$301,MATCH($B6,Players!$B$2:$B$301,0)),""))</f>
        <v/>
      </c>
      <c r="D6">
        <f>IF($B6="","",IFERROR(INDEX(Players!$D$2:$D$301,MATCH($B6,Players!$B$2:$B$301,0)),""))</f>
        <v/>
      </c>
      <c r="E6">
        <f>IF($B6="","",IFERROR(INDEX(Players!$M$2:$M$301,MATCH($B6,Players!$B$2:$B$301,0)),""))</f>
        <v/>
      </c>
      <c r="F6">
        <f>IF($B6="","",IFERROR(INDEX(Players!$N$2:$N$301,MATCH($B6,Players!$B$2:$B$301,0)),""))</f>
        <v/>
      </c>
      <c r="G6">
        <f>IF($B6="","",IFERROR(INDEX(Players!$O$2:$O$301,MATCH($B6,Players!$B$2:$B$301,0)),""))</f>
        <v/>
      </c>
      <c r="H6">
        <f>IF($B6="","",IFERROR(INDEX(Players!$P$2:$P$301,MATCH($B6,Players!$B$2:$B$301,0)),""))</f>
        <v/>
      </c>
      <c r="I6">
        <f>IF($B6="","",IFERROR(INDEX(Players!$Q$2:$Q$301,MATCH($B6,Players!$B$2:$B$301,0)),""))</f>
        <v/>
      </c>
      <c r="J6">
        <f>IF($B6="","",IFERROR(INDEX(Players!$R$2:$R$301,MATCH($B6,Players!$B$2:$B$301,0)),""))</f>
        <v/>
      </c>
    </row>
    <row r="7">
      <c r="A7" t="n">
        <v>3</v>
      </c>
      <c r="B7">
        <f>IFERROR(INDEX(Board!$B$2:$B$17,3),"")</f>
        <v/>
      </c>
      <c r="C7">
        <f>IF($B7="","",IFERROR(INDEX(Players!$C$2:$C$301,MATCH($B7,Players!$B$2:$B$301,0)),""))</f>
        <v/>
      </c>
      <c r="D7">
        <f>IF($B7="","",IFERROR(INDEX(Players!$D$2:$D$301,MATCH($B7,Players!$B$2:$B$301,0)),""))</f>
        <v/>
      </c>
      <c r="E7">
        <f>IF($B7="","",IFERROR(INDEX(Players!$M$2:$M$301,MATCH($B7,Players!$B$2:$B$301,0)),""))</f>
        <v/>
      </c>
      <c r="F7">
        <f>IF($B7="","",IFERROR(INDEX(Players!$N$2:$N$301,MATCH($B7,Players!$B$2:$B$301,0)),""))</f>
        <v/>
      </c>
      <c r="G7">
        <f>IF($B7="","",IFERROR(INDEX(Players!$O$2:$O$301,MATCH($B7,Players!$B$2:$B$301,0)),""))</f>
        <v/>
      </c>
      <c r="H7">
        <f>IF($B7="","",IFERROR(INDEX(Players!$P$2:$P$301,MATCH($B7,Players!$B$2:$B$301,0)),""))</f>
        <v/>
      </c>
      <c r="I7">
        <f>IF($B7="","",IFERROR(INDEX(Players!$Q$2:$Q$301,MATCH($B7,Players!$B$2:$B$301,0)),""))</f>
        <v/>
      </c>
      <c r="J7">
        <f>IF($B7="","",IFERROR(INDEX(Players!$R$2:$R$301,MATCH($B7,Players!$B$2:$B$301,0)),""))</f>
        <v/>
      </c>
    </row>
    <row r="8">
      <c r="A8" t="n">
        <v>4</v>
      </c>
      <c r="B8">
        <f>IFERROR(INDEX(Board!$B$2:$B$17,4),"")</f>
        <v/>
      </c>
      <c r="C8">
        <f>IF($B8="","",IFERROR(INDEX(Players!$C$2:$C$301,MATCH($B8,Players!$B$2:$B$301,0)),""))</f>
        <v/>
      </c>
      <c r="D8">
        <f>IF($B8="","",IFERROR(INDEX(Players!$D$2:$D$301,MATCH($B8,Players!$B$2:$B$301,0)),""))</f>
        <v/>
      </c>
      <c r="E8">
        <f>IF($B8="","",IFERROR(INDEX(Players!$M$2:$M$301,MATCH($B8,Players!$B$2:$B$301,0)),""))</f>
        <v/>
      </c>
      <c r="F8">
        <f>IF($B8="","",IFERROR(INDEX(Players!$N$2:$N$301,MATCH($B8,Players!$B$2:$B$301,0)),""))</f>
        <v/>
      </c>
      <c r="G8">
        <f>IF($B8="","",IFERROR(INDEX(Players!$O$2:$O$301,MATCH($B8,Players!$B$2:$B$301,0)),""))</f>
        <v/>
      </c>
      <c r="H8">
        <f>IF($B8="","",IFERROR(INDEX(Players!$P$2:$P$301,MATCH($B8,Players!$B$2:$B$301,0)),""))</f>
        <v/>
      </c>
      <c r="I8">
        <f>IF($B8="","",IFERROR(INDEX(Players!$Q$2:$Q$301,MATCH($B8,Players!$B$2:$B$301,0)),""))</f>
        <v/>
      </c>
      <c r="J8">
        <f>IF($B8="","",IFERROR(INDEX(Players!$R$2:$R$301,MATCH($B8,Players!$B$2:$B$301,0)),""))</f>
        <v/>
      </c>
    </row>
    <row r="9">
      <c r="A9" t="n">
        <v>5</v>
      </c>
      <c r="B9">
        <f>IFERROR(INDEX(Board!$B$2:$B$17,5),"")</f>
        <v/>
      </c>
      <c r="C9">
        <f>IF($B9="","",IFERROR(INDEX(Players!$C$2:$C$301,MATCH($B9,Players!$B$2:$B$301,0)),""))</f>
        <v/>
      </c>
      <c r="D9">
        <f>IF($B9="","",IFERROR(INDEX(Players!$D$2:$D$301,MATCH($B9,Players!$B$2:$B$301,0)),""))</f>
        <v/>
      </c>
      <c r="E9">
        <f>IF($B9="","",IFERROR(INDEX(Players!$M$2:$M$301,MATCH($B9,Players!$B$2:$B$301,0)),""))</f>
        <v/>
      </c>
      <c r="F9">
        <f>IF($B9="","",IFERROR(INDEX(Players!$N$2:$N$301,MATCH($B9,Players!$B$2:$B$301,0)),""))</f>
        <v/>
      </c>
      <c r="G9">
        <f>IF($B9="","",IFERROR(INDEX(Players!$O$2:$O$301,MATCH($B9,Players!$B$2:$B$301,0)),""))</f>
        <v/>
      </c>
      <c r="H9">
        <f>IF($B9="","",IFERROR(INDEX(Players!$P$2:$P$301,MATCH($B9,Players!$B$2:$B$301,0)),""))</f>
        <v/>
      </c>
      <c r="I9">
        <f>IF($B9="","",IFERROR(INDEX(Players!$Q$2:$Q$301,MATCH($B9,Players!$B$2:$B$301,0)),""))</f>
        <v/>
      </c>
      <c r="J9">
        <f>IF($B9="","",IFERROR(INDEX(Players!$R$2:$R$301,MATCH($B9,Players!$B$2:$B$301,0)),""))</f>
        <v/>
      </c>
    </row>
    <row r="10">
      <c r="A10" t="n">
        <v>6</v>
      </c>
      <c r="B10">
        <f>IFERROR(INDEX(Board!$B$2:$B$17,6),"")</f>
        <v/>
      </c>
      <c r="C10">
        <f>IF($B10="","",IFERROR(INDEX(Players!$C$2:$C$301,MATCH($B10,Players!$B$2:$B$301,0)),""))</f>
        <v/>
      </c>
      <c r="D10">
        <f>IF($B10="","",IFERROR(INDEX(Players!$D$2:$D$301,MATCH($B10,Players!$B$2:$B$301,0)),""))</f>
        <v/>
      </c>
      <c r="E10">
        <f>IF($B10="","",IFERROR(INDEX(Players!$M$2:$M$301,MATCH($B10,Players!$B$2:$B$301,0)),""))</f>
        <v/>
      </c>
      <c r="F10">
        <f>IF($B10="","",IFERROR(INDEX(Players!$N$2:$N$301,MATCH($B10,Players!$B$2:$B$301,0)),""))</f>
        <v/>
      </c>
      <c r="G10">
        <f>IF($B10="","",IFERROR(INDEX(Players!$O$2:$O$301,MATCH($B10,Players!$B$2:$B$301,0)),""))</f>
        <v/>
      </c>
      <c r="H10">
        <f>IF($B10="","",IFERROR(INDEX(Players!$P$2:$P$301,MATCH($B10,Players!$B$2:$B$301,0)),""))</f>
        <v/>
      </c>
      <c r="I10">
        <f>IF($B10="","",IFERROR(INDEX(Players!$Q$2:$Q$301,MATCH($B10,Players!$B$2:$B$301,0)),""))</f>
        <v/>
      </c>
      <c r="J10">
        <f>IF($B10="","",IFERROR(INDEX(Players!$R$2:$R$301,MATCH($B10,Players!$B$2:$B$301,0)),""))</f>
        <v/>
      </c>
    </row>
    <row r="11">
      <c r="A11" t="n">
        <v>7</v>
      </c>
      <c r="B11">
        <f>IFERROR(INDEX(Board!$B$2:$B$17,7),"")</f>
        <v/>
      </c>
      <c r="C11">
        <f>IF($B11="","",IFERROR(INDEX(Players!$C$2:$C$301,MATCH($B11,Players!$B$2:$B$301,0)),""))</f>
        <v/>
      </c>
      <c r="D11">
        <f>IF($B11="","",IFERROR(INDEX(Players!$D$2:$D$301,MATCH($B11,Players!$B$2:$B$301,0)),""))</f>
        <v/>
      </c>
      <c r="E11">
        <f>IF($B11="","",IFERROR(INDEX(Players!$M$2:$M$301,MATCH($B11,Players!$B$2:$B$301,0)),""))</f>
        <v/>
      </c>
      <c r="F11">
        <f>IF($B11="","",IFERROR(INDEX(Players!$N$2:$N$301,MATCH($B11,Players!$B$2:$B$301,0)),""))</f>
        <v/>
      </c>
      <c r="G11">
        <f>IF($B11="","",IFERROR(INDEX(Players!$O$2:$O$301,MATCH($B11,Players!$B$2:$B$301,0)),""))</f>
        <v/>
      </c>
      <c r="H11">
        <f>IF($B11="","",IFERROR(INDEX(Players!$P$2:$P$301,MATCH($B11,Players!$B$2:$B$301,0)),""))</f>
        <v/>
      </c>
      <c r="I11">
        <f>IF($B11="","",IFERROR(INDEX(Players!$Q$2:$Q$301,MATCH($B11,Players!$B$2:$B$301,0)),""))</f>
        <v/>
      </c>
      <c r="J11">
        <f>IF($B11="","",IFERROR(INDEX(Players!$R$2:$R$301,MATCH($B11,Players!$B$2:$B$301,0)),""))</f>
        <v/>
      </c>
    </row>
    <row r="12">
      <c r="A12" t="n">
        <v>8</v>
      </c>
      <c r="B12">
        <f>IFERROR(INDEX(Board!$B$2:$B$17,8),"")</f>
        <v/>
      </c>
      <c r="C12">
        <f>IF($B12="","",IFERROR(INDEX(Players!$C$2:$C$301,MATCH($B12,Players!$B$2:$B$301,0)),""))</f>
        <v/>
      </c>
      <c r="D12">
        <f>IF($B12="","",IFERROR(INDEX(Players!$D$2:$D$301,MATCH($B12,Players!$B$2:$B$301,0)),""))</f>
        <v/>
      </c>
      <c r="E12">
        <f>IF($B12="","",IFERROR(INDEX(Players!$M$2:$M$301,MATCH($B12,Players!$B$2:$B$301,0)),""))</f>
        <v/>
      </c>
      <c r="F12">
        <f>IF($B12="","",IFERROR(INDEX(Players!$N$2:$N$301,MATCH($B12,Players!$B$2:$B$301,0)),""))</f>
        <v/>
      </c>
      <c r="G12">
        <f>IF($B12="","",IFERROR(INDEX(Players!$O$2:$O$301,MATCH($B12,Players!$B$2:$B$301,0)),""))</f>
        <v/>
      </c>
      <c r="H12">
        <f>IF($B12="","",IFERROR(INDEX(Players!$P$2:$P$301,MATCH($B12,Players!$B$2:$B$301,0)),""))</f>
        <v/>
      </c>
      <c r="I12">
        <f>IF($B12="","",IFERROR(INDEX(Players!$Q$2:$Q$301,MATCH($B12,Players!$B$2:$B$301,0)),""))</f>
        <v/>
      </c>
      <c r="J12">
        <f>IF($B12="","",IFERROR(INDEX(Players!$R$2:$R$301,MATCH($B12,Players!$B$2:$B$301,0)),""))</f>
        <v/>
      </c>
    </row>
    <row r="13">
      <c r="A13" t="n">
        <v>9</v>
      </c>
      <c r="B13">
        <f>IFERROR(INDEX(Board!$B$2:$B$17,9),"")</f>
        <v/>
      </c>
      <c r="C13">
        <f>IF($B13="","",IFERROR(INDEX(Players!$C$2:$C$301,MATCH($B13,Players!$B$2:$B$301,0)),""))</f>
        <v/>
      </c>
      <c r="D13">
        <f>IF($B13="","",IFERROR(INDEX(Players!$D$2:$D$301,MATCH($B13,Players!$B$2:$B$301,0)),""))</f>
        <v/>
      </c>
      <c r="E13">
        <f>IF($B13="","",IFERROR(INDEX(Players!$M$2:$M$301,MATCH($B13,Players!$B$2:$B$301,0)),""))</f>
        <v/>
      </c>
      <c r="F13">
        <f>IF($B13="","",IFERROR(INDEX(Players!$N$2:$N$301,MATCH($B13,Players!$B$2:$B$301,0)),""))</f>
        <v/>
      </c>
      <c r="G13">
        <f>IF($B13="","",IFERROR(INDEX(Players!$O$2:$O$301,MATCH($B13,Players!$B$2:$B$301,0)),""))</f>
        <v/>
      </c>
      <c r="H13">
        <f>IF($B13="","",IFERROR(INDEX(Players!$P$2:$P$301,MATCH($B13,Players!$B$2:$B$301,0)),""))</f>
        <v/>
      </c>
      <c r="I13">
        <f>IF($B13="","",IFERROR(INDEX(Players!$Q$2:$Q$301,MATCH($B13,Players!$B$2:$B$301,0)),""))</f>
        <v/>
      </c>
      <c r="J13">
        <f>IF($B13="","",IFERROR(INDEX(Players!$R$2:$R$301,MATCH($B13,Players!$B$2:$B$301,0)),""))</f>
        <v/>
      </c>
    </row>
    <row r="14">
      <c r="A14" t="n">
        <v>10</v>
      </c>
      <c r="B14">
        <f>IFERROR(INDEX(Board!$B$2:$B$17,10),"")</f>
        <v/>
      </c>
      <c r="C14">
        <f>IF($B14="","",IFERROR(INDEX(Players!$C$2:$C$301,MATCH($B14,Players!$B$2:$B$301,0)),""))</f>
        <v/>
      </c>
      <c r="D14">
        <f>IF($B14="","",IFERROR(INDEX(Players!$D$2:$D$301,MATCH($B14,Players!$B$2:$B$301,0)),""))</f>
        <v/>
      </c>
      <c r="E14">
        <f>IF($B14="","",IFERROR(INDEX(Players!$M$2:$M$301,MATCH($B14,Players!$B$2:$B$301,0)),""))</f>
        <v/>
      </c>
      <c r="F14">
        <f>IF($B14="","",IFERROR(INDEX(Players!$N$2:$N$301,MATCH($B14,Players!$B$2:$B$301,0)),""))</f>
        <v/>
      </c>
      <c r="G14">
        <f>IF($B14="","",IFERROR(INDEX(Players!$O$2:$O$301,MATCH($B14,Players!$B$2:$B$301,0)),""))</f>
        <v/>
      </c>
      <c r="H14">
        <f>IF($B14="","",IFERROR(INDEX(Players!$P$2:$P$301,MATCH($B14,Players!$B$2:$B$301,0)),""))</f>
        <v/>
      </c>
      <c r="I14">
        <f>IF($B14="","",IFERROR(INDEX(Players!$Q$2:$Q$301,MATCH($B14,Players!$B$2:$B$301,0)),""))</f>
        <v/>
      </c>
      <c r="J14">
        <f>IF($B14="","",IFERROR(INDEX(Players!$R$2:$R$301,MATCH($B14,Players!$B$2:$B$301,0)),""))</f>
        <v/>
      </c>
    </row>
    <row r="15">
      <c r="A15" t="n">
        <v>11</v>
      </c>
      <c r="B15">
        <f>IFERROR(INDEX(Board!$B$2:$B$17,11),"")</f>
        <v/>
      </c>
      <c r="C15">
        <f>IF($B15="","",IFERROR(INDEX(Players!$C$2:$C$301,MATCH($B15,Players!$B$2:$B$301,0)),""))</f>
        <v/>
      </c>
      <c r="D15">
        <f>IF($B15="","",IFERROR(INDEX(Players!$D$2:$D$301,MATCH($B15,Players!$B$2:$B$301,0)),""))</f>
        <v/>
      </c>
      <c r="E15">
        <f>IF($B15="","",IFERROR(INDEX(Players!$M$2:$M$301,MATCH($B15,Players!$B$2:$B$301,0)),""))</f>
        <v/>
      </c>
      <c r="F15">
        <f>IF($B15="","",IFERROR(INDEX(Players!$N$2:$N$301,MATCH($B15,Players!$B$2:$B$301,0)),""))</f>
        <v/>
      </c>
      <c r="G15">
        <f>IF($B15="","",IFERROR(INDEX(Players!$O$2:$O$301,MATCH($B15,Players!$B$2:$B$301,0)),""))</f>
        <v/>
      </c>
      <c r="H15">
        <f>IF($B15="","",IFERROR(INDEX(Players!$P$2:$P$301,MATCH($B15,Players!$B$2:$B$301,0)),""))</f>
        <v/>
      </c>
      <c r="I15">
        <f>IF($B15="","",IFERROR(INDEX(Players!$Q$2:$Q$301,MATCH($B15,Players!$B$2:$B$301,0)),""))</f>
        <v/>
      </c>
      <c r="J15">
        <f>IF($B15="","",IFERROR(INDEX(Players!$R$2:$R$301,MATCH($B15,Players!$B$2:$B$301,0)),""))</f>
        <v/>
      </c>
    </row>
    <row r="16">
      <c r="A16" t="n">
        <v>12</v>
      </c>
      <c r="B16">
        <f>IFERROR(INDEX(Board!$B$2:$B$17,12),"")</f>
        <v/>
      </c>
      <c r="C16">
        <f>IF($B16="","",IFERROR(INDEX(Players!$C$2:$C$301,MATCH($B16,Players!$B$2:$B$301,0)),""))</f>
        <v/>
      </c>
      <c r="D16">
        <f>IF($B16="","",IFERROR(INDEX(Players!$D$2:$D$301,MATCH($B16,Players!$B$2:$B$301,0)),""))</f>
        <v/>
      </c>
      <c r="E16">
        <f>IF($B16="","",IFERROR(INDEX(Players!$M$2:$M$301,MATCH($B16,Players!$B$2:$B$301,0)),""))</f>
        <v/>
      </c>
      <c r="F16">
        <f>IF($B16="","",IFERROR(INDEX(Players!$N$2:$N$301,MATCH($B16,Players!$B$2:$B$301,0)),""))</f>
        <v/>
      </c>
      <c r="G16">
        <f>IF($B16="","",IFERROR(INDEX(Players!$O$2:$O$301,MATCH($B16,Players!$B$2:$B$301,0)),""))</f>
        <v/>
      </c>
      <c r="H16">
        <f>IF($B16="","",IFERROR(INDEX(Players!$P$2:$P$301,MATCH($B16,Players!$B$2:$B$301,0)),""))</f>
        <v/>
      </c>
      <c r="I16">
        <f>IF($B16="","",IFERROR(INDEX(Players!$Q$2:$Q$301,MATCH($B16,Players!$B$2:$B$301,0)),""))</f>
        <v/>
      </c>
      <c r="J16">
        <f>IF($B16="","",IFERROR(INDEX(Players!$R$2:$R$301,MATCH($B16,Players!$B$2:$B$301,0)),""))</f>
        <v/>
      </c>
    </row>
    <row r="17">
      <c r="A17" t="n">
        <v>13</v>
      </c>
      <c r="B17">
        <f>IFERROR(INDEX(Board!$B$2:$B$17,13),"")</f>
        <v/>
      </c>
      <c r="C17">
        <f>IF($B17="","",IFERROR(INDEX(Players!$C$2:$C$301,MATCH($B17,Players!$B$2:$B$301,0)),""))</f>
        <v/>
      </c>
      <c r="D17">
        <f>IF($B17="","",IFERROR(INDEX(Players!$D$2:$D$301,MATCH($B17,Players!$B$2:$B$301,0)),""))</f>
        <v/>
      </c>
      <c r="E17">
        <f>IF($B17="","",IFERROR(INDEX(Players!$M$2:$M$301,MATCH($B17,Players!$B$2:$B$301,0)),""))</f>
        <v/>
      </c>
      <c r="F17">
        <f>IF($B17="","",IFERROR(INDEX(Players!$N$2:$N$301,MATCH($B17,Players!$B$2:$B$301,0)),""))</f>
        <v/>
      </c>
      <c r="G17">
        <f>IF($B17="","",IFERROR(INDEX(Players!$O$2:$O$301,MATCH($B17,Players!$B$2:$B$301,0)),""))</f>
        <v/>
      </c>
      <c r="H17">
        <f>IF($B17="","",IFERROR(INDEX(Players!$P$2:$P$301,MATCH($B17,Players!$B$2:$B$301,0)),""))</f>
        <v/>
      </c>
      <c r="I17">
        <f>IF($B17="","",IFERROR(INDEX(Players!$Q$2:$Q$301,MATCH($B17,Players!$B$2:$B$301,0)),""))</f>
        <v/>
      </c>
      <c r="J17">
        <f>IF($B17="","",IFERROR(INDEX(Players!$R$2:$R$301,MATCH($B17,Players!$B$2:$B$301,0)),""))</f>
        <v/>
      </c>
    </row>
    <row r="18">
      <c r="A18" t="n">
        <v>14</v>
      </c>
      <c r="B18">
        <f>IFERROR(INDEX(Board!$B$2:$B$17,14),"")</f>
        <v/>
      </c>
      <c r="C18">
        <f>IF($B18="","",IFERROR(INDEX(Players!$C$2:$C$301,MATCH($B18,Players!$B$2:$B$301,0)),""))</f>
        <v/>
      </c>
      <c r="D18">
        <f>IF($B18="","",IFERROR(INDEX(Players!$D$2:$D$301,MATCH($B18,Players!$B$2:$B$301,0)),""))</f>
        <v/>
      </c>
      <c r="E18">
        <f>IF($B18="","",IFERROR(INDEX(Players!$M$2:$M$301,MATCH($B18,Players!$B$2:$B$301,0)),""))</f>
        <v/>
      </c>
      <c r="F18">
        <f>IF($B18="","",IFERROR(INDEX(Players!$N$2:$N$301,MATCH($B18,Players!$B$2:$B$301,0)),""))</f>
        <v/>
      </c>
      <c r="G18">
        <f>IF($B18="","",IFERROR(INDEX(Players!$O$2:$O$301,MATCH($B18,Players!$B$2:$B$301,0)),""))</f>
        <v/>
      </c>
      <c r="H18">
        <f>IF($B18="","",IFERROR(INDEX(Players!$P$2:$P$301,MATCH($B18,Players!$B$2:$B$301,0)),""))</f>
        <v/>
      </c>
      <c r="I18">
        <f>IF($B18="","",IFERROR(INDEX(Players!$Q$2:$Q$301,MATCH($B18,Players!$B$2:$B$301,0)),""))</f>
        <v/>
      </c>
      <c r="J18">
        <f>IF($B18="","",IFERROR(INDEX(Players!$R$2:$R$301,MATCH($B18,Players!$B$2:$B$301,0)),""))</f>
        <v/>
      </c>
    </row>
    <row r="19">
      <c r="A19" t="n">
        <v>15</v>
      </c>
      <c r="B19">
        <f>IFERROR(INDEX(Board!$B$2:$B$17,15),"")</f>
        <v/>
      </c>
      <c r="C19">
        <f>IF($B19="","",IFERROR(INDEX(Players!$C$2:$C$301,MATCH($B19,Players!$B$2:$B$301,0)),""))</f>
        <v/>
      </c>
      <c r="D19">
        <f>IF($B19="","",IFERROR(INDEX(Players!$D$2:$D$301,MATCH($B19,Players!$B$2:$B$301,0)),""))</f>
        <v/>
      </c>
      <c r="E19">
        <f>IF($B19="","",IFERROR(INDEX(Players!$M$2:$M$301,MATCH($B19,Players!$B$2:$B$301,0)),""))</f>
        <v/>
      </c>
      <c r="F19">
        <f>IF($B19="","",IFERROR(INDEX(Players!$N$2:$N$301,MATCH($B19,Players!$B$2:$B$301,0)),""))</f>
        <v/>
      </c>
      <c r="G19">
        <f>IF($B19="","",IFERROR(INDEX(Players!$O$2:$O$301,MATCH($B19,Players!$B$2:$B$301,0)),""))</f>
        <v/>
      </c>
      <c r="H19">
        <f>IF($B19="","",IFERROR(INDEX(Players!$P$2:$P$301,MATCH($B19,Players!$B$2:$B$301,0)),""))</f>
        <v/>
      </c>
      <c r="I19">
        <f>IF($B19="","",IFERROR(INDEX(Players!$Q$2:$Q$301,MATCH($B19,Players!$B$2:$B$301,0)),""))</f>
        <v/>
      </c>
      <c r="J19">
        <f>IF($B19="","",IFERROR(INDEX(Players!$R$2:$R$301,MATCH($B19,Players!$B$2:$B$301,0)),""))</f>
        <v/>
      </c>
    </row>
    <row r="20">
      <c r="A20" t="n">
        <v>16</v>
      </c>
      <c r="B20">
        <f>IFERROR(INDEX(Board!$B$2:$B$17,16),"")</f>
        <v/>
      </c>
      <c r="C20">
        <f>IF($B20="","",IFERROR(INDEX(Players!$C$2:$C$301,MATCH($B20,Players!$B$2:$B$301,0)),""))</f>
        <v/>
      </c>
      <c r="D20">
        <f>IF($B20="","",IFERROR(INDEX(Players!$D$2:$D$301,MATCH($B20,Players!$B$2:$B$301,0)),""))</f>
        <v/>
      </c>
      <c r="E20">
        <f>IF($B20="","",IFERROR(INDEX(Players!$M$2:$M$301,MATCH($B20,Players!$B$2:$B$301,0)),""))</f>
        <v/>
      </c>
      <c r="F20">
        <f>IF($B20="","",IFERROR(INDEX(Players!$N$2:$N$301,MATCH($B20,Players!$B$2:$B$301,0)),""))</f>
        <v/>
      </c>
      <c r="G20">
        <f>IF($B20="","",IFERROR(INDEX(Players!$O$2:$O$301,MATCH($B20,Players!$B$2:$B$301,0)),""))</f>
        <v/>
      </c>
      <c r="H20">
        <f>IF($B20="","",IFERROR(INDEX(Players!$P$2:$P$301,MATCH($B20,Players!$B$2:$B$301,0)),""))</f>
        <v/>
      </c>
      <c r="I20">
        <f>IF($B20="","",IFERROR(INDEX(Players!$Q$2:$Q$301,MATCH($B20,Players!$B$2:$B$301,0)),""))</f>
        <v/>
      </c>
      <c r="J20">
        <f>IF($B20="","",IFERROR(INDEX(Players!$R$2:$R$301,MATCH($B20,Players!$B$2:$B$301,0)),""))</f>
        <v/>
      </c>
    </row>
    <row r="21">
      <c r="B21" s="29" t="inlineStr">
        <is>
          <t>TOTAL</t>
        </is>
      </c>
      <c r="E21" s="33">
        <f>SUM(E5:E20)</f>
        <v/>
      </c>
      <c r="F21" s="33">
        <f>SUM(F5:F20)</f>
        <v/>
      </c>
      <c r="G21" s="33">
        <f>SUM(G5:G20)</f>
        <v/>
      </c>
      <c r="H21" s="33">
        <f>SUM(H5:H20)</f>
        <v/>
      </c>
      <c r="I21" s="33">
        <f>SUM(I5:I20)</f>
        <v/>
      </c>
      <c r="J21" s="33">
        <f>SUM(J5:J20)</f>
        <v/>
      </c>
    </row>
    <row r="22">
      <c r="A22" s="34" t="inlineStr">
        <is>
          <t>Team 2</t>
        </is>
      </c>
    </row>
    <row r="23">
      <c r="A23" s="23" t="inlineStr">
        <is>
          <t>Pick</t>
        </is>
      </c>
      <c r="B23" s="23" t="inlineStr">
        <is>
          <t>Player</t>
        </is>
      </c>
      <c r="C23" s="23" t="inlineStr">
        <is>
          <t>Team</t>
        </is>
      </c>
      <c r="D23" s="23" t="inlineStr">
        <is>
          <t>Pos</t>
        </is>
      </c>
      <c r="E23" s="23" t="inlineStr">
        <is>
          <t>G</t>
        </is>
      </c>
      <c r="F23" s="23" t="inlineStr">
        <is>
          <t>A</t>
        </is>
      </c>
      <c r="G23" s="23" t="inlineStr">
        <is>
          <t>PPP</t>
        </is>
      </c>
      <c r="H23" s="23" t="inlineStr">
        <is>
          <t>SOG</t>
        </is>
      </c>
      <c r="I23" s="23" t="inlineStr">
        <is>
          <t>HIT</t>
        </is>
      </c>
      <c r="J23" s="23" t="inlineStr">
        <is>
          <t>BLK</t>
        </is>
      </c>
    </row>
    <row r="24">
      <c r="A24" t="n">
        <v>1</v>
      </c>
      <c r="B24">
        <f>IFERROR(INDEX(Board!$C$2:$C$17,1),"")</f>
        <v/>
      </c>
      <c r="C24">
        <f>IF($B24="","",IFERROR(INDEX(Players!$C$2:$C$301,MATCH($B24,Players!$B$2:$B$301,0)),""))</f>
        <v/>
      </c>
      <c r="D24">
        <f>IF($B24="","",IFERROR(INDEX(Players!$D$2:$D$301,MATCH($B24,Players!$B$2:$B$301,0)),""))</f>
        <v/>
      </c>
      <c r="E24">
        <f>IF($B24="","",IFERROR(INDEX(Players!$M$2:$M$301,MATCH($B24,Players!$B$2:$B$301,0)),""))</f>
        <v/>
      </c>
      <c r="F24">
        <f>IF($B24="","",IFERROR(INDEX(Players!$N$2:$N$301,MATCH($B24,Players!$B$2:$B$301,0)),""))</f>
        <v/>
      </c>
      <c r="G24">
        <f>IF($B24="","",IFERROR(INDEX(Players!$O$2:$O$301,MATCH($B24,Players!$B$2:$B$301,0)),""))</f>
        <v/>
      </c>
      <c r="H24">
        <f>IF($B24="","",IFERROR(INDEX(Players!$P$2:$P$301,MATCH($B24,Players!$B$2:$B$301,0)),""))</f>
        <v/>
      </c>
      <c r="I24">
        <f>IF($B24="","",IFERROR(INDEX(Players!$Q$2:$Q$301,MATCH($B24,Players!$B$2:$B$301,0)),""))</f>
        <v/>
      </c>
      <c r="J24">
        <f>IF($B24="","",IFERROR(INDEX(Players!$R$2:$R$301,MATCH($B24,Players!$B$2:$B$301,0)),""))</f>
        <v/>
      </c>
    </row>
    <row r="25">
      <c r="A25" t="n">
        <v>2</v>
      </c>
      <c r="B25">
        <f>IFERROR(INDEX(Board!$C$2:$C$17,2),"")</f>
        <v/>
      </c>
      <c r="C25">
        <f>IF($B25="","",IFERROR(INDEX(Players!$C$2:$C$301,MATCH($B25,Players!$B$2:$B$301,0)),""))</f>
        <v/>
      </c>
      <c r="D25">
        <f>IF($B25="","",IFERROR(INDEX(Players!$D$2:$D$301,MATCH($B25,Players!$B$2:$B$301,0)),""))</f>
        <v/>
      </c>
      <c r="E25">
        <f>IF($B25="","",IFERROR(INDEX(Players!$M$2:$M$301,MATCH($B25,Players!$B$2:$B$301,0)),""))</f>
        <v/>
      </c>
      <c r="F25">
        <f>IF($B25="","",IFERROR(INDEX(Players!$N$2:$N$301,MATCH($B25,Players!$B$2:$B$301,0)),""))</f>
        <v/>
      </c>
      <c r="G25">
        <f>IF($B25="","",IFERROR(INDEX(Players!$O$2:$O$301,MATCH($B25,Players!$B$2:$B$301,0)),""))</f>
        <v/>
      </c>
      <c r="H25">
        <f>IF($B25="","",IFERROR(INDEX(Players!$P$2:$P$301,MATCH($B25,Players!$B$2:$B$301,0)),""))</f>
        <v/>
      </c>
      <c r="I25">
        <f>IF($B25="","",IFERROR(INDEX(Players!$Q$2:$Q$301,MATCH($B25,Players!$B$2:$B$301,0)),""))</f>
        <v/>
      </c>
      <c r="J25">
        <f>IF($B25="","",IFERROR(INDEX(Players!$R$2:$R$301,MATCH($B25,Players!$B$2:$B$301,0)),""))</f>
        <v/>
      </c>
    </row>
    <row r="26">
      <c r="A26" t="n">
        <v>3</v>
      </c>
      <c r="B26">
        <f>IFERROR(INDEX(Board!$C$2:$C$17,3),"")</f>
        <v/>
      </c>
      <c r="C26">
        <f>IF($B26="","",IFERROR(INDEX(Players!$C$2:$C$301,MATCH($B26,Players!$B$2:$B$301,0)),""))</f>
        <v/>
      </c>
      <c r="D26">
        <f>IF($B26="","",IFERROR(INDEX(Players!$D$2:$D$301,MATCH($B26,Players!$B$2:$B$301,0)),""))</f>
        <v/>
      </c>
      <c r="E26">
        <f>IF($B26="","",IFERROR(INDEX(Players!$M$2:$M$301,MATCH($B26,Players!$B$2:$B$301,0)),""))</f>
        <v/>
      </c>
      <c r="F26">
        <f>IF($B26="","",IFERROR(INDEX(Players!$N$2:$N$301,MATCH($B26,Players!$B$2:$B$301,0)),""))</f>
        <v/>
      </c>
      <c r="G26">
        <f>IF($B26="","",IFERROR(INDEX(Players!$O$2:$O$301,MATCH($B26,Players!$B$2:$B$301,0)),""))</f>
        <v/>
      </c>
      <c r="H26">
        <f>IF($B26="","",IFERROR(INDEX(Players!$P$2:$P$301,MATCH($B26,Players!$B$2:$B$301,0)),""))</f>
        <v/>
      </c>
      <c r="I26">
        <f>IF($B26="","",IFERROR(INDEX(Players!$Q$2:$Q$301,MATCH($B26,Players!$B$2:$B$301,0)),""))</f>
        <v/>
      </c>
      <c r="J26">
        <f>IF($B26="","",IFERROR(INDEX(Players!$R$2:$R$301,MATCH($B26,Players!$B$2:$B$301,0)),""))</f>
        <v/>
      </c>
    </row>
    <row r="27">
      <c r="A27" t="n">
        <v>4</v>
      </c>
      <c r="B27">
        <f>IFERROR(INDEX(Board!$C$2:$C$17,4),"")</f>
        <v/>
      </c>
      <c r="C27">
        <f>IF($B27="","",IFERROR(INDEX(Players!$C$2:$C$301,MATCH($B27,Players!$B$2:$B$301,0)),""))</f>
        <v/>
      </c>
      <c r="D27">
        <f>IF($B27="","",IFERROR(INDEX(Players!$D$2:$D$301,MATCH($B27,Players!$B$2:$B$301,0)),""))</f>
        <v/>
      </c>
      <c r="E27">
        <f>IF($B27="","",IFERROR(INDEX(Players!$M$2:$M$301,MATCH($B27,Players!$B$2:$B$301,0)),""))</f>
        <v/>
      </c>
      <c r="F27">
        <f>IF($B27="","",IFERROR(INDEX(Players!$N$2:$N$301,MATCH($B27,Players!$B$2:$B$301,0)),""))</f>
        <v/>
      </c>
      <c r="G27">
        <f>IF($B27="","",IFERROR(INDEX(Players!$O$2:$O$301,MATCH($B27,Players!$B$2:$B$301,0)),""))</f>
        <v/>
      </c>
      <c r="H27">
        <f>IF($B27="","",IFERROR(INDEX(Players!$P$2:$P$301,MATCH($B27,Players!$B$2:$B$301,0)),""))</f>
        <v/>
      </c>
      <c r="I27">
        <f>IF($B27="","",IFERROR(INDEX(Players!$Q$2:$Q$301,MATCH($B27,Players!$B$2:$B$301,0)),""))</f>
        <v/>
      </c>
      <c r="J27">
        <f>IF($B27="","",IFERROR(INDEX(Players!$R$2:$R$301,MATCH($B27,Players!$B$2:$B$301,0)),""))</f>
        <v/>
      </c>
    </row>
    <row r="28">
      <c r="A28" t="n">
        <v>5</v>
      </c>
      <c r="B28">
        <f>IFERROR(INDEX(Board!$C$2:$C$17,5),"")</f>
        <v/>
      </c>
      <c r="C28">
        <f>IF($B28="","",IFERROR(INDEX(Players!$C$2:$C$301,MATCH($B28,Players!$B$2:$B$301,0)),""))</f>
        <v/>
      </c>
      <c r="D28">
        <f>IF($B28="","",IFERROR(INDEX(Players!$D$2:$D$301,MATCH($B28,Players!$B$2:$B$301,0)),""))</f>
        <v/>
      </c>
      <c r="E28">
        <f>IF($B28="","",IFERROR(INDEX(Players!$M$2:$M$301,MATCH($B28,Players!$B$2:$B$301,0)),""))</f>
        <v/>
      </c>
      <c r="F28">
        <f>IF($B28="","",IFERROR(INDEX(Players!$N$2:$N$301,MATCH($B28,Players!$B$2:$B$301,0)),""))</f>
        <v/>
      </c>
      <c r="G28">
        <f>IF($B28="","",IFERROR(INDEX(Players!$O$2:$O$301,MATCH($B28,Players!$B$2:$B$301,0)),""))</f>
        <v/>
      </c>
      <c r="H28">
        <f>IF($B28="","",IFERROR(INDEX(Players!$P$2:$P$301,MATCH($B28,Players!$B$2:$B$301,0)),""))</f>
        <v/>
      </c>
      <c r="I28">
        <f>IF($B28="","",IFERROR(INDEX(Players!$Q$2:$Q$301,MATCH($B28,Players!$B$2:$B$301,0)),""))</f>
        <v/>
      </c>
      <c r="J28">
        <f>IF($B28="","",IFERROR(INDEX(Players!$R$2:$R$301,MATCH($B28,Players!$B$2:$B$301,0)),""))</f>
        <v/>
      </c>
    </row>
    <row r="29">
      <c r="A29" t="n">
        <v>6</v>
      </c>
      <c r="B29">
        <f>IFERROR(INDEX(Board!$C$2:$C$17,6),"")</f>
        <v/>
      </c>
      <c r="C29">
        <f>IF($B29="","",IFERROR(INDEX(Players!$C$2:$C$301,MATCH($B29,Players!$B$2:$B$301,0)),""))</f>
        <v/>
      </c>
      <c r="D29">
        <f>IF($B29="","",IFERROR(INDEX(Players!$D$2:$D$301,MATCH($B29,Players!$B$2:$B$301,0)),""))</f>
        <v/>
      </c>
      <c r="E29">
        <f>IF($B29="","",IFERROR(INDEX(Players!$M$2:$M$301,MATCH($B29,Players!$B$2:$B$301,0)),""))</f>
        <v/>
      </c>
      <c r="F29">
        <f>IF($B29="","",IFERROR(INDEX(Players!$N$2:$N$301,MATCH($B29,Players!$B$2:$B$301,0)),""))</f>
        <v/>
      </c>
      <c r="G29">
        <f>IF($B29="","",IFERROR(INDEX(Players!$O$2:$O$301,MATCH($B29,Players!$B$2:$B$301,0)),""))</f>
        <v/>
      </c>
      <c r="H29">
        <f>IF($B29="","",IFERROR(INDEX(Players!$P$2:$P$301,MATCH($B29,Players!$B$2:$B$301,0)),""))</f>
        <v/>
      </c>
      <c r="I29">
        <f>IF($B29="","",IFERROR(INDEX(Players!$Q$2:$Q$301,MATCH($B29,Players!$B$2:$B$301,0)),""))</f>
        <v/>
      </c>
      <c r="J29">
        <f>IF($B29="","",IFERROR(INDEX(Players!$R$2:$R$301,MATCH($B29,Players!$B$2:$B$301,0)),""))</f>
        <v/>
      </c>
    </row>
    <row r="30">
      <c r="A30" t="n">
        <v>7</v>
      </c>
      <c r="B30">
        <f>IFERROR(INDEX(Board!$C$2:$C$17,7),"")</f>
        <v/>
      </c>
      <c r="C30">
        <f>IF($B30="","",IFERROR(INDEX(Players!$C$2:$C$301,MATCH($B30,Players!$B$2:$B$301,0)),""))</f>
        <v/>
      </c>
      <c r="D30">
        <f>IF($B30="","",IFERROR(INDEX(Players!$D$2:$D$301,MATCH($B30,Players!$B$2:$B$301,0)),""))</f>
        <v/>
      </c>
      <c r="E30">
        <f>IF($B30="","",IFERROR(INDEX(Players!$M$2:$M$301,MATCH($B30,Players!$B$2:$B$301,0)),""))</f>
        <v/>
      </c>
      <c r="F30">
        <f>IF($B30="","",IFERROR(INDEX(Players!$N$2:$N$301,MATCH($B30,Players!$B$2:$B$301,0)),""))</f>
        <v/>
      </c>
      <c r="G30">
        <f>IF($B30="","",IFERROR(INDEX(Players!$O$2:$O$301,MATCH($B30,Players!$B$2:$B$301,0)),""))</f>
        <v/>
      </c>
      <c r="H30">
        <f>IF($B30="","",IFERROR(INDEX(Players!$P$2:$P$301,MATCH($B30,Players!$B$2:$B$301,0)),""))</f>
        <v/>
      </c>
      <c r="I30">
        <f>IF($B30="","",IFERROR(INDEX(Players!$Q$2:$Q$301,MATCH($B30,Players!$B$2:$B$301,0)),""))</f>
        <v/>
      </c>
      <c r="J30">
        <f>IF($B30="","",IFERROR(INDEX(Players!$R$2:$R$301,MATCH($B30,Players!$B$2:$B$301,0)),""))</f>
        <v/>
      </c>
    </row>
    <row r="31">
      <c r="A31" t="n">
        <v>8</v>
      </c>
      <c r="B31">
        <f>IFERROR(INDEX(Board!$C$2:$C$17,8),"")</f>
        <v/>
      </c>
      <c r="C31">
        <f>IF($B31="","",IFERROR(INDEX(Players!$C$2:$C$301,MATCH($B31,Players!$B$2:$B$301,0)),""))</f>
        <v/>
      </c>
      <c r="D31">
        <f>IF($B31="","",IFERROR(INDEX(Players!$D$2:$D$301,MATCH($B31,Players!$B$2:$B$301,0)),""))</f>
        <v/>
      </c>
      <c r="E31">
        <f>IF($B31="","",IFERROR(INDEX(Players!$M$2:$M$301,MATCH($B31,Players!$B$2:$B$301,0)),""))</f>
        <v/>
      </c>
      <c r="F31">
        <f>IF($B31="","",IFERROR(INDEX(Players!$N$2:$N$301,MATCH($B31,Players!$B$2:$B$301,0)),""))</f>
        <v/>
      </c>
      <c r="G31">
        <f>IF($B31="","",IFERROR(INDEX(Players!$O$2:$O$301,MATCH($B31,Players!$B$2:$B$301,0)),""))</f>
        <v/>
      </c>
      <c r="H31">
        <f>IF($B31="","",IFERROR(INDEX(Players!$P$2:$P$301,MATCH($B31,Players!$B$2:$B$301,0)),""))</f>
        <v/>
      </c>
      <c r="I31">
        <f>IF($B31="","",IFERROR(INDEX(Players!$Q$2:$Q$301,MATCH($B31,Players!$B$2:$B$301,0)),""))</f>
        <v/>
      </c>
      <c r="J31">
        <f>IF($B31="","",IFERROR(INDEX(Players!$R$2:$R$301,MATCH($B31,Players!$B$2:$B$301,0)),""))</f>
        <v/>
      </c>
    </row>
    <row r="32">
      <c r="A32" t="n">
        <v>9</v>
      </c>
      <c r="B32">
        <f>IFERROR(INDEX(Board!$C$2:$C$17,9),"")</f>
        <v/>
      </c>
      <c r="C32">
        <f>IF($B32="","",IFERROR(INDEX(Players!$C$2:$C$301,MATCH($B32,Players!$B$2:$B$301,0)),""))</f>
        <v/>
      </c>
      <c r="D32">
        <f>IF($B32="","",IFERROR(INDEX(Players!$D$2:$D$301,MATCH($B32,Players!$B$2:$B$301,0)),""))</f>
        <v/>
      </c>
      <c r="E32">
        <f>IF($B32="","",IFERROR(INDEX(Players!$M$2:$M$301,MATCH($B32,Players!$B$2:$B$301,0)),""))</f>
        <v/>
      </c>
      <c r="F32">
        <f>IF($B32="","",IFERROR(INDEX(Players!$N$2:$N$301,MATCH($B32,Players!$B$2:$B$301,0)),""))</f>
        <v/>
      </c>
      <c r="G32">
        <f>IF($B32="","",IFERROR(INDEX(Players!$O$2:$O$301,MATCH($B32,Players!$B$2:$B$301,0)),""))</f>
        <v/>
      </c>
      <c r="H32">
        <f>IF($B32="","",IFERROR(INDEX(Players!$P$2:$P$301,MATCH($B32,Players!$B$2:$B$301,0)),""))</f>
        <v/>
      </c>
      <c r="I32">
        <f>IF($B32="","",IFERROR(INDEX(Players!$Q$2:$Q$301,MATCH($B32,Players!$B$2:$B$301,0)),""))</f>
        <v/>
      </c>
      <c r="J32">
        <f>IF($B32="","",IFERROR(INDEX(Players!$R$2:$R$301,MATCH($B32,Players!$B$2:$B$301,0)),""))</f>
        <v/>
      </c>
    </row>
    <row r="33">
      <c r="A33" t="n">
        <v>10</v>
      </c>
      <c r="B33">
        <f>IFERROR(INDEX(Board!$C$2:$C$17,10),"")</f>
        <v/>
      </c>
      <c r="C33">
        <f>IF($B33="","",IFERROR(INDEX(Players!$C$2:$C$301,MATCH($B33,Players!$B$2:$B$301,0)),""))</f>
        <v/>
      </c>
      <c r="D33">
        <f>IF($B33="","",IFERROR(INDEX(Players!$D$2:$D$301,MATCH($B33,Players!$B$2:$B$301,0)),""))</f>
        <v/>
      </c>
      <c r="E33">
        <f>IF($B33="","",IFERROR(INDEX(Players!$M$2:$M$301,MATCH($B33,Players!$B$2:$B$301,0)),""))</f>
        <v/>
      </c>
      <c r="F33">
        <f>IF($B33="","",IFERROR(INDEX(Players!$N$2:$N$301,MATCH($B33,Players!$B$2:$B$301,0)),""))</f>
        <v/>
      </c>
      <c r="G33">
        <f>IF($B33="","",IFERROR(INDEX(Players!$O$2:$O$301,MATCH($B33,Players!$B$2:$B$301,0)),""))</f>
        <v/>
      </c>
      <c r="H33">
        <f>IF($B33="","",IFERROR(INDEX(Players!$P$2:$P$301,MATCH($B33,Players!$B$2:$B$301,0)),""))</f>
        <v/>
      </c>
      <c r="I33">
        <f>IF($B33="","",IFERROR(INDEX(Players!$Q$2:$Q$301,MATCH($B33,Players!$B$2:$B$301,0)),""))</f>
        <v/>
      </c>
      <c r="J33">
        <f>IF($B33="","",IFERROR(INDEX(Players!$R$2:$R$301,MATCH($B33,Players!$B$2:$B$301,0)),""))</f>
        <v/>
      </c>
    </row>
    <row r="34">
      <c r="A34" t="n">
        <v>11</v>
      </c>
      <c r="B34">
        <f>IFERROR(INDEX(Board!$C$2:$C$17,11),"")</f>
        <v/>
      </c>
      <c r="C34">
        <f>IF($B34="","",IFERROR(INDEX(Players!$C$2:$C$301,MATCH($B34,Players!$B$2:$B$301,0)),""))</f>
        <v/>
      </c>
      <c r="D34">
        <f>IF($B34="","",IFERROR(INDEX(Players!$D$2:$D$301,MATCH($B34,Players!$B$2:$B$301,0)),""))</f>
        <v/>
      </c>
      <c r="E34">
        <f>IF($B34="","",IFERROR(INDEX(Players!$M$2:$M$301,MATCH($B34,Players!$B$2:$B$301,0)),""))</f>
        <v/>
      </c>
      <c r="F34">
        <f>IF($B34="","",IFERROR(INDEX(Players!$N$2:$N$301,MATCH($B34,Players!$B$2:$B$301,0)),""))</f>
        <v/>
      </c>
      <c r="G34">
        <f>IF($B34="","",IFERROR(INDEX(Players!$O$2:$O$301,MATCH($B34,Players!$B$2:$B$301,0)),""))</f>
        <v/>
      </c>
      <c r="H34">
        <f>IF($B34="","",IFERROR(INDEX(Players!$P$2:$P$301,MATCH($B34,Players!$B$2:$B$301,0)),""))</f>
        <v/>
      </c>
      <c r="I34">
        <f>IF($B34="","",IFERROR(INDEX(Players!$Q$2:$Q$301,MATCH($B34,Players!$B$2:$B$301,0)),""))</f>
        <v/>
      </c>
      <c r="J34">
        <f>IF($B34="","",IFERROR(INDEX(Players!$R$2:$R$301,MATCH($B34,Players!$B$2:$B$301,0)),""))</f>
        <v/>
      </c>
    </row>
    <row r="35">
      <c r="A35" t="n">
        <v>12</v>
      </c>
      <c r="B35">
        <f>IFERROR(INDEX(Board!$C$2:$C$17,12),"")</f>
        <v/>
      </c>
      <c r="C35">
        <f>IF($B35="","",IFERROR(INDEX(Players!$C$2:$C$301,MATCH($B35,Players!$B$2:$B$301,0)),""))</f>
        <v/>
      </c>
      <c r="D35">
        <f>IF($B35="","",IFERROR(INDEX(Players!$D$2:$D$301,MATCH($B35,Players!$B$2:$B$301,0)),""))</f>
        <v/>
      </c>
      <c r="E35">
        <f>IF($B35="","",IFERROR(INDEX(Players!$M$2:$M$301,MATCH($B35,Players!$B$2:$B$301,0)),""))</f>
        <v/>
      </c>
      <c r="F35">
        <f>IF($B35="","",IFERROR(INDEX(Players!$N$2:$N$301,MATCH($B35,Players!$B$2:$B$301,0)),""))</f>
        <v/>
      </c>
      <c r="G35">
        <f>IF($B35="","",IFERROR(INDEX(Players!$O$2:$O$301,MATCH($B35,Players!$B$2:$B$301,0)),""))</f>
        <v/>
      </c>
      <c r="H35">
        <f>IF($B35="","",IFERROR(INDEX(Players!$P$2:$P$301,MATCH($B35,Players!$B$2:$B$301,0)),""))</f>
        <v/>
      </c>
      <c r="I35">
        <f>IF($B35="","",IFERROR(INDEX(Players!$Q$2:$Q$301,MATCH($B35,Players!$B$2:$B$301,0)),""))</f>
        <v/>
      </c>
      <c r="J35">
        <f>IF($B35="","",IFERROR(INDEX(Players!$R$2:$R$301,MATCH($B35,Players!$B$2:$B$301,0)),""))</f>
        <v/>
      </c>
    </row>
    <row r="36">
      <c r="A36" t="n">
        <v>13</v>
      </c>
      <c r="B36">
        <f>IFERROR(INDEX(Board!$C$2:$C$17,13),"")</f>
        <v/>
      </c>
      <c r="C36">
        <f>IF($B36="","",IFERROR(INDEX(Players!$C$2:$C$301,MATCH($B36,Players!$B$2:$B$301,0)),""))</f>
        <v/>
      </c>
      <c r="D36">
        <f>IF($B36="","",IFERROR(INDEX(Players!$D$2:$D$301,MATCH($B36,Players!$B$2:$B$301,0)),""))</f>
        <v/>
      </c>
      <c r="E36">
        <f>IF($B36="","",IFERROR(INDEX(Players!$M$2:$M$301,MATCH($B36,Players!$B$2:$B$301,0)),""))</f>
        <v/>
      </c>
      <c r="F36">
        <f>IF($B36="","",IFERROR(INDEX(Players!$N$2:$N$301,MATCH($B36,Players!$B$2:$B$301,0)),""))</f>
        <v/>
      </c>
      <c r="G36">
        <f>IF($B36="","",IFERROR(INDEX(Players!$O$2:$O$301,MATCH($B36,Players!$B$2:$B$301,0)),""))</f>
        <v/>
      </c>
      <c r="H36">
        <f>IF($B36="","",IFERROR(INDEX(Players!$P$2:$P$301,MATCH($B36,Players!$B$2:$B$301,0)),""))</f>
        <v/>
      </c>
      <c r="I36">
        <f>IF($B36="","",IFERROR(INDEX(Players!$Q$2:$Q$301,MATCH($B36,Players!$B$2:$B$301,0)),""))</f>
        <v/>
      </c>
      <c r="J36">
        <f>IF($B36="","",IFERROR(INDEX(Players!$R$2:$R$301,MATCH($B36,Players!$B$2:$B$301,0)),""))</f>
        <v/>
      </c>
    </row>
    <row r="37">
      <c r="A37" t="n">
        <v>14</v>
      </c>
      <c r="B37">
        <f>IFERROR(INDEX(Board!$C$2:$C$17,14),"")</f>
        <v/>
      </c>
      <c r="C37">
        <f>IF($B37="","",IFERROR(INDEX(Players!$C$2:$C$301,MATCH($B37,Players!$B$2:$B$301,0)),""))</f>
        <v/>
      </c>
      <c r="D37">
        <f>IF($B37="","",IFERROR(INDEX(Players!$D$2:$D$301,MATCH($B37,Players!$B$2:$B$301,0)),""))</f>
        <v/>
      </c>
      <c r="E37">
        <f>IF($B37="","",IFERROR(INDEX(Players!$M$2:$M$301,MATCH($B37,Players!$B$2:$B$301,0)),""))</f>
        <v/>
      </c>
      <c r="F37">
        <f>IF($B37="","",IFERROR(INDEX(Players!$N$2:$N$301,MATCH($B37,Players!$B$2:$B$301,0)),""))</f>
        <v/>
      </c>
      <c r="G37">
        <f>IF($B37="","",IFERROR(INDEX(Players!$O$2:$O$301,MATCH($B37,Players!$B$2:$B$301,0)),""))</f>
        <v/>
      </c>
      <c r="H37">
        <f>IF($B37="","",IFERROR(INDEX(Players!$P$2:$P$301,MATCH($B37,Players!$B$2:$B$301,0)),""))</f>
        <v/>
      </c>
      <c r="I37">
        <f>IF($B37="","",IFERROR(INDEX(Players!$Q$2:$Q$301,MATCH($B37,Players!$B$2:$B$301,0)),""))</f>
        <v/>
      </c>
      <c r="J37">
        <f>IF($B37="","",IFERROR(INDEX(Players!$R$2:$R$301,MATCH($B37,Players!$B$2:$B$301,0)),""))</f>
        <v/>
      </c>
    </row>
    <row r="38">
      <c r="A38" t="n">
        <v>15</v>
      </c>
      <c r="B38">
        <f>IFERROR(INDEX(Board!$C$2:$C$17,15),"")</f>
        <v/>
      </c>
      <c r="C38">
        <f>IF($B38="","",IFERROR(INDEX(Players!$C$2:$C$301,MATCH($B38,Players!$B$2:$B$301,0)),""))</f>
        <v/>
      </c>
      <c r="D38">
        <f>IF($B38="","",IFERROR(INDEX(Players!$D$2:$D$301,MATCH($B38,Players!$B$2:$B$301,0)),""))</f>
        <v/>
      </c>
      <c r="E38">
        <f>IF($B38="","",IFERROR(INDEX(Players!$M$2:$M$301,MATCH($B38,Players!$B$2:$B$301,0)),""))</f>
        <v/>
      </c>
      <c r="F38">
        <f>IF($B38="","",IFERROR(INDEX(Players!$N$2:$N$301,MATCH($B38,Players!$B$2:$B$301,0)),""))</f>
        <v/>
      </c>
      <c r="G38">
        <f>IF($B38="","",IFERROR(INDEX(Players!$O$2:$O$301,MATCH($B38,Players!$B$2:$B$301,0)),""))</f>
        <v/>
      </c>
      <c r="H38">
        <f>IF($B38="","",IFERROR(INDEX(Players!$P$2:$P$301,MATCH($B38,Players!$B$2:$B$301,0)),""))</f>
        <v/>
      </c>
      <c r="I38">
        <f>IF($B38="","",IFERROR(INDEX(Players!$Q$2:$Q$301,MATCH($B38,Players!$B$2:$B$301,0)),""))</f>
        <v/>
      </c>
      <c r="J38">
        <f>IF($B38="","",IFERROR(INDEX(Players!$R$2:$R$301,MATCH($B38,Players!$B$2:$B$301,0)),""))</f>
        <v/>
      </c>
    </row>
    <row r="39">
      <c r="A39" t="n">
        <v>16</v>
      </c>
      <c r="B39">
        <f>IFERROR(INDEX(Board!$C$2:$C$17,16),"")</f>
        <v/>
      </c>
      <c r="C39">
        <f>IF($B39="","",IFERROR(INDEX(Players!$C$2:$C$301,MATCH($B39,Players!$B$2:$B$301,0)),""))</f>
        <v/>
      </c>
      <c r="D39">
        <f>IF($B39="","",IFERROR(INDEX(Players!$D$2:$D$301,MATCH($B39,Players!$B$2:$B$301,0)),""))</f>
        <v/>
      </c>
      <c r="E39">
        <f>IF($B39="","",IFERROR(INDEX(Players!$M$2:$M$301,MATCH($B39,Players!$B$2:$B$301,0)),""))</f>
        <v/>
      </c>
      <c r="F39">
        <f>IF($B39="","",IFERROR(INDEX(Players!$N$2:$N$301,MATCH($B39,Players!$B$2:$B$301,0)),""))</f>
        <v/>
      </c>
      <c r="G39">
        <f>IF($B39="","",IFERROR(INDEX(Players!$O$2:$O$301,MATCH($B39,Players!$B$2:$B$301,0)),""))</f>
        <v/>
      </c>
      <c r="H39">
        <f>IF($B39="","",IFERROR(INDEX(Players!$P$2:$P$301,MATCH($B39,Players!$B$2:$B$301,0)),""))</f>
        <v/>
      </c>
      <c r="I39">
        <f>IF($B39="","",IFERROR(INDEX(Players!$Q$2:$Q$301,MATCH($B39,Players!$B$2:$B$301,0)),""))</f>
        <v/>
      </c>
      <c r="J39">
        <f>IF($B39="","",IFERROR(INDEX(Players!$R$2:$R$301,MATCH($B39,Players!$B$2:$B$301,0)),""))</f>
        <v/>
      </c>
    </row>
    <row r="40">
      <c r="B40" s="29" t="inlineStr">
        <is>
          <t>TOTAL</t>
        </is>
      </c>
      <c r="E40" s="33">
        <f>SUM(E24:E39)</f>
        <v/>
      </c>
      <c r="F40" s="33">
        <f>SUM(F24:F39)</f>
        <v/>
      </c>
      <c r="G40" s="33">
        <f>SUM(G24:G39)</f>
        <v/>
      </c>
      <c r="H40" s="33">
        <f>SUM(H24:H39)</f>
        <v/>
      </c>
      <c r="I40" s="33">
        <f>SUM(I24:I39)</f>
        <v/>
      </c>
      <c r="J40" s="33">
        <f>SUM(J24:J39)</f>
        <v/>
      </c>
    </row>
    <row r="41">
      <c r="A41" s="34" t="inlineStr">
        <is>
          <t>Team 3</t>
        </is>
      </c>
    </row>
    <row r="42">
      <c r="A42" s="23" t="inlineStr">
        <is>
          <t>Pick</t>
        </is>
      </c>
      <c r="B42" s="23" t="inlineStr">
        <is>
          <t>Player</t>
        </is>
      </c>
      <c r="C42" s="23" t="inlineStr">
        <is>
          <t>Team</t>
        </is>
      </c>
      <c r="D42" s="23" t="inlineStr">
        <is>
          <t>Pos</t>
        </is>
      </c>
      <c r="E42" s="23" t="inlineStr">
        <is>
          <t>G</t>
        </is>
      </c>
      <c r="F42" s="23" t="inlineStr">
        <is>
          <t>A</t>
        </is>
      </c>
      <c r="G42" s="23" t="inlineStr">
        <is>
          <t>PPP</t>
        </is>
      </c>
      <c r="H42" s="23" t="inlineStr">
        <is>
          <t>SOG</t>
        </is>
      </c>
      <c r="I42" s="23" t="inlineStr">
        <is>
          <t>HIT</t>
        </is>
      </c>
      <c r="J42" s="23" t="inlineStr">
        <is>
          <t>BLK</t>
        </is>
      </c>
    </row>
    <row r="43">
      <c r="A43" t="n">
        <v>1</v>
      </c>
      <c r="B43">
        <f>IFERROR(INDEX(Board!$D$2:$D$17,1),"")</f>
        <v/>
      </c>
      <c r="C43">
        <f>IF($B43="","",IFERROR(INDEX(Players!$C$2:$C$301,MATCH($B43,Players!$B$2:$B$301,0)),""))</f>
        <v/>
      </c>
      <c r="D43">
        <f>IF($B43="","",IFERROR(INDEX(Players!$D$2:$D$301,MATCH($B43,Players!$B$2:$B$301,0)),""))</f>
        <v/>
      </c>
      <c r="E43">
        <f>IF($B43="","",IFERROR(INDEX(Players!$M$2:$M$301,MATCH($B43,Players!$B$2:$B$301,0)),""))</f>
        <v/>
      </c>
      <c r="F43">
        <f>IF($B43="","",IFERROR(INDEX(Players!$N$2:$N$301,MATCH($B43,Players!$B$2:$B$301,0)),""))</f>
        <v/>
      </c>
      <c r="G43">
        <f>IF($B43="","",IFERROR(INDEX(Players!$O$2:$O$301,MATCH($B43,Players!$B$2:$B$301,0)),""))</f>
        <v/>
      </c>
      <c r="H43">
        <f>IF($B43="","",IFERROR(INDEX(Players!$P$2:$P$301,MATCH($B43,Players!$B$2:$B$301,0)),""))</f>
        <v/>
      </c>
      <c r="I43">
        <f>IF($B43="","",IFERROR(INDEX(Players!$Q$2:$Q$301,MATCH($B43,Players!$B$2:$B$301,0)),""))</f>
        <v/>
      </c>
      <c r="J43">
        <f>IF($B43="","",IFERROR(INDEX(Players!$R$2:$R$301,MATCH($B43,Players!$B$2:$B$301,0)),""))</f>
        <v/>
      </c>
    </row>
    <row r="44">
      <c r="A44" t="n">
        <v>2</v>
      </c>
      <c r="B44">
        <f>IFERROR(INDEX(Board!$D$2:$D$17,2),"")</f>
        <v/>
      </c>
      <c r="C44">
        <f>IF($B44="","",IFERROR(INDEX(Players!$C$2:$C$301,MATCH($B44,Players!$B$2:$B$301,0)),""))</f>
        <v/>
      </c>
      <c r="D44">
        <f>IF($B44="","",IFERROR(INDEX(Players!$D$2:$D$301,MATCH($B44,Players!$B$2:$B$301,0)),""))</f>
        <v/>
      </c>
      <c r="E44">
        <f>IF($B44="","",IFERROR(INDEX(Players!$M$2:$M$301,MATCH($B44,Players!$B$2:$B$301,0)),""))</f>
        <v/>
      </c>
      <c r="F44">
        <f>IF($B44="","",IFERROR(INDEX(Players!$N$2:$N$301,MATCH($B44,Players!$B$2:$B$301,0)),""))</f>
        <v/>
      </c>
      <c r="G44">
        <f>IF($B44="","",IFERROR(INDEX(Players!$O$2:$O$301,MATCH($B44,Players!$B$2:$B$301,0)),""))</f>
        <v/>
      </c>
      <c r="H44">
        <f>IF($B44="","",IFERROR(INDEX(Players!$P$2:$P$301,MATCH($B44,Players!$B$2:$B$301,0)),""))</f>
        <v/>
      </c>
      <c r="I44">
        <f>IF($B44="","",IFERROR(INDEX(Players!$Q$2:$Q$301,MATCH($B44,Players!$B$2:$B$301,0)),""))</f>
        <v/>
      </c>
      <c r="J44">
        <f>IF($B44="","",IFERROR(INDEX(Players!$R$2:$R$301,MATCH($B44,Players!$B$2:$B$301,0)),""))</f>
        <v/>
      </c>
    </row>
    <row r="45">
      <c r="A45" t="n">
        <v>3</v>
      </c>
      <c r="B45">
        <f>IFERROR(INDEX(Board!$D$2:$D$17,3),"")</f>
        <v/>
      </c>
      <c r="C45">
        <f>IF($B45="","",IFERROR(INDEX(Players!$C$2:$C$301,MATCH($B45,Players!$B$2:$B$301,0)),""))</f>
        <v/>
      </c>
      <c r="D45">
        <f>IF($B45="","",IFERROR(INDEX(Players!$D$2:$D$301,MATCH($B45,Players!$B$2:$B$301,0)),""))</f>
        <v/>
      </c>
      <c r="E45">
        <f>IF($B45="","",IFERROR(INDEX(Players!$M$2:$M$301,MATCH($B45,Players!$B$2:$B$301,0)),""))</f>
        <v/>
      </c>
      <c r="F45">
        <f>IF($B45="","",IFERROR(INDEX(Players!$N$2:$N$301,MATCH($B45,Players!$B$2:$B$301,0)),""))</f>
        <v/>
      </c>
      <c r="G45">
        <f>IF($B45="","",IFERROR(INDEX(Players!$O$2:$O$301,MATCH($B45,Players!$B$2:$B$301,0)),""))</f>
        <v/>
      </c>
      <c r="H45">
        <f>IF($B45="","",IFERROR(INDEX(Players!$P$2:$P$301,MATCH($B45,Players!$B$2:$B$301,0)),""))</f>
        <v/>
      </c>
      <c r="I45">
        <f>IF($B45="","",IFERROR(INDEX(Players!$Q$2:$Q$301,MATCH($B45,Players!$B$2:$B$301,0)),""))</f>
        <v/>
      </c>
      <c r="J45">
        <f>IF($B45="","",IFERROR(INDEX(Players!$R$2:$R$301,MATCH($B45,Players!$B$2:$B$301,0)),""))</f>
        <v/>
      </c>
    </row>
    <row r="46">
      <c r="A46" t="n">
        <v>4</v>
      </c>
      <c r="B46">
        <f>IFERROR(INDEX(Board!$D$2:$D$17,4),"")</f>
        <v/>
      </c>
      <c r="C46">
        <f>IF($B46="","",IFERROR(INDEX(Players!$C$2:$C$301,MATCH($B46,Players!$B$2:$B$301,0)),""))</f>
        <v/>
      </c>
      <c r="D46">
        <f>IF($B46="","",IFERROR(INDEX(Players!$D$2:$D$301,MATCH($B46,Players!$B$2:$B$301,0)),""))</f>
        <v/>
      </c>
      <c r="E46">
        <f>IF($B46="","",IFERROR(INDEX(Players!$M$2:$M$301,MATCH($B46,Players!$B$2:$B$301,0)),""))</f>
        <v/>
      </c>
      <c r="F46">
        <f>IF($B46="","",IFERROR(INDEX(Players!$N$2:$N$301,MATCH($B46,Players!$B$2:$B$301,0)),""))</f>
        <v/>
      </c>
      <c r="G46">
        <f>IF($B46="","",IFERROR(INDEX(Players!$O$2:$O$301,MATCH($B46,Players!$B$2:$B$301,0)),""))</f>
        <v/>
      </c>
      <c r="H46">
        <f>IF($B46="","",IFERROR(INDEX(Players!$P$2:$P$301,MATCH($B46,Players!$B$2:$B$301,0)),""))</f>
        <v/>
      </c>
      <c r="I46">
        <f>IF($B46="","",IFERROR(INDEX(Players!$Q$2:$Q$301,MATCH($B46,Players!$B$2:$B$301,0)),""))</f>
        <v/>
      </c>
      <c r="J46">
        <f>IF($B46="","",IFERROR(INDEX(Players!$R$2:$R$301,MATCH($B46,Players!$B$2:$B$301,0)),""))</f>
        <v/>
      </c>
    </row>
    <row r="47">
      <c r="A47" t="n">
        <v>5</v>
      </c>
      <c r="B47">
        <f>IFERROR(INDEX(Board!$D$2:$D$17,5),"")</f>
        <v/>
      </c>
      <c r="C47">
        <f>IF($B47="","",IFERROR(INDEX(Players!$C$2:$C$301,MATCH($B47,Players!$B$2:$B$301,0)),""))</f>
        <v/>
      </c>
      <c r="D47">
        <f>IF($B47="","",IFERROR(INDEX(Players!$D$2:$D$301,MATCH($B47,Players!$B$2:$B$301,0)),""))</f>
        <v/>
      </c>
      <c r="E47">
        <f>IF($B47="","",IFERROR(INDEX(Players!$M$2:$M$301,MATCH($B47,Players!$B$2:$B$301,0)),""))</f>
        <v/>
      </c>
      <c r="F47">
        <f>IF($B47="","",IFERROR(INDEX(Players!$N$2:$N$301,MATCH($B47,Players!$B$2:$B$301,0)),""))</f>
        <v/>
      </c>
      <c r="G47">
        <f>IF($B47="","",IFERROR(INDEX(Players!$O$2:$O$301,MATCH($B47,Players!$B$2:$B$301,0)),""))</f>
        <v/>
      </c>
      <c r="H47">
        <f>IF($B47="","",IFERROR(INDEX(Players!$P$2:$P$301,MATCH($B47,Players!$B$2:$B$301,0)),""))</f>
        <v/>
      </c>
      <c r="I47">
        <f>IF($B47="","",IFERROR(INDEX(Players!$Q$2:$Q$301,MATCH($B47,Players!$B$2:$B$301,0)),""))</f>
        <v/>
      </c>
      <c r="J47">
        <f>IF($B47="","",IFERROR(INDEX(Players!$R$2:$R$301,MATCH($B47,Players!$B$2:$B$301,0)),""))</f>
        <v/>
      </c>
    </row>
    <row r="48">
      <c r="A48" t="n">
        <v>6</v>
      </c>
      <c r="B48">
        <f>IFERROR(INDEX(Board!$D$2:$D$17,6),"")</f>
        <v/>
      </c>
      <c r="C48">
        <f>IF($B48="","",IFERROR(INDEX(Players!$C$2:$C$301,MATCH($B48,Players!$B$2:$B$301,0)),""))</f>
        <v/>
      </c>
      <c r="D48">
        <f>IF($B48="","",IFERROR(INDEX(Players!$D$2:$D$301,MATCH($B48,Players!$B$2:$B$301,0)),""))</f>
        <v/>
      </c>
      <c r="E48">
        <f>IF($B48="","",IFERROR(INDEX(Players!$M$2:$M$301,MATCH($B48,Players!$B$2:$B$301,0)),""))</f>
        <v/>
      </c>
      <c r="F48">
        <f>IF($B48="","",IFERROR(INDEX(Players!$N$2:$N$301,MATCH($B48,Players!$B$2:$B$301,0)),""))</f>
        <v/>
      </c>
      <c r="G48">
        <f>IF($B48="","",IFERROR(INDEX(Players!$O$2:$O$301,MATCH($B48,Players!$B$2:$B$301,0)),""))</f>
        <v/>
      </c>
      <c r="H48">
        <f>IF($B48="","",IFERROR(INDEX(Players!$P$2:$P$301,MATCH($B48,Players!$B$2:$B$301,0)),""))</f>
        <v/>
      </c>
      <c r="I48">
        <f>IF($B48="","",IFERROR(INDEX(Players!$Q$2:$Q$301,MATCH($B48,Players!$B$2:$B$301,0)),""))</f>
        <v/>
      </c>
      <c r="J48">
        <f>IF($B48="","",IFERROR(INDEX(Players!$R$2:$R$301,MATCH($B48,Players!$B$2:$B$301,0)),""))</f>
        <v/>
      </c>
    </row>
    <row r="49">
      <c r="A49" t="n">
        <v>7</v>
      </c>
      <c r="B49">
        <f>IFERROR(INDEX(Board!$D$2:$D$17,7),"")</f>
        <v/>
      </c>
      <c r="C49">
        <f>IF($B49="","",IFERROR(INDEX(Players!$C$2:$C$301,MATCH($B49,Players!$B$2:$B$301,0)),""))</f>
        <v/>
      </c>
      <c r="D49">
        <f>IF($B49="","",IFERROR(INDEX(Players!$D$2:$D$301,MATCH($B49,Players!$B$2:$B$301,0)),""))</f>
        <v/>
      </c>
      <c r="E49">
        <f>IF($B49="","",IFERROR(INDEX(Players!$M$2:$M$301,MATCH($B49,Players!$B$2:$B$301,0)),""))</f>
        <v/>
      </c>
      <c r="F49">
        <f>IF($B49="","",IFERROR(INDEX(Players!$N$2:$N$301,MATCH($B49,Players!$B$2:$B$301,0)),""))</f>
        <v/>
      </c>
      <c r="G49">
        <f>IF($B49="","",IFERROR(INDEX(Players!$O$2:$O$301,MATCH($B49,Players!$B$2:$B$301,0)),""))</f>
        <v/>
      </c>
      <c r="H49">
        <f>IF($B49="","",IFERROR(INDEX(Players!$P$2:$P$301,MATCH($B49,Players!$B$2:$B$301,0)),""))</f>
        <v/>
      </c>
      <c r="I49">
        <f>IF($B49="","",IFERROR(INDEX(Players!$Q$2:$Q$301,MATCH($B49,Players!$B$2:$B$301,0)),""))</f>
        <v/>
      </c>
      <c r="J49">
        <f>IF($B49="","",IFERROR(INDEX(Players!$R$2:$R$301,MATCH($B49,Players!$B$2:$B$301,0)),""))</f>
        <v/>
      </c>
    </row>
    <row r="50">
      <c r="A50" t="n">
        <v>8</v>
      </c>
      <c r="B50">
        <f>IFERROR(INDEX(Board!$D$2:$D$17,8),"")</f>
        <v/>
      </c>
      <c r="C50">
        <f>IF($B50="","",IFERROR(INDEX(Players!$C$2:$C$301,MATCH($B50,Players!$B$2:$B$301,0)),""))</f>
        <v/>
      </c>
      <c r="D50">
        <f>IF($B50="","",IFERROR(INDEX(Players!$D$2:$D$301,MATCH($B50,Players!$B$2:$B$301,0)),""))</f>
        <v/>
      </c>
      <c r="E50">
        <f>IF($B50="","",IFERROR(INDEX(Players!$M$2:$M$301,MATCH($B50,Players!$B$2:$B$301,0)),""))</f>
        <v/>
      </c>
      <c r="F50">
        <f>IF($B50="","",IFERROR(INDEX(Players!$N$2:$N$301,MATCH($B50,Players!$B$2:$B$301,0)),""))</f>
        <v/>
      </c>
      <c r="G50">
        <f>IF($B50="","",IFERROR(INDEX(Players!$O$2:$O$301,MATCH($B50,Players!$B$2:$B$301,0)),""))</f>
        <v/>
      </c>
      <c r="H50">
        <f>IF($B50="","",IFERROR(INDEX(Players!$P$2:$P$301,MATCH($B50,Players!$B$2:$B$301,0)),""))</f>
        <v/>
      </c>
      <c r="I50">
        <f>IF($B50="","",IFERROR(INDEX(Players!$Q$2:$Q$301,MATCH($B50,Players!$B$2:$B$301,0)),""))</f>
        <v/>
      </c>
      <c r="J50">
        <f>IF($B50="","",IFERROR(INDEX(Players!$R$2:$R$301,MATCH($B50,Players!$B$2:$B$301,0)),""))</f>
        <v/>
      </c>
    </row>
    <row r="51">
      <c r="A51" t="n">
        <v>9</v>
      </c>
      <c r="B51">
        <f>IFERROR(INDEX(Board!$D$2:$D$17,9),"")</f>
        <v/>
      </c>
      <c r="C51">
        <f>IF($B51="","",IFERROR(INDEX(Players!$C$2:$C$301,MATCH($B51,Players!$B$2:$B$301,0)),""))</f>
        <v/>
      </c>
      <c r="D51">
        <f>IF($B51="","",IFERROR(INDEX(Players!$D$2:$D$301,MATCH($B51,Players!$B$2:$B$301,0)),""))</f>
        <v/>
      </c>
      <c r="E51">
        <f>IF($B51="","",IFERROR(INDEX(Players!$M$2:$M$301,MATCH($B51,Players!$B$2:$B$301,0)),""))</f>
        <v/>
      </c>
      <c r="F51">
        <f>IF($B51="","",IFERROR(INDEX(Players!$N$2:$N$301,MATCH($B51,Players!$B$2:$B$301,0)),""))</f>
        <v/>
      </c>
      <c r="G51">
        <f>IF($B51="","",IFERROR(INDEX(Players!$O$2:$O$301,MATCH($B51,Players!$B$2:$B$301,0)),""))</f>
        <v/>
      </c>
      <c r="H51">
        <f>IF($B51="","",IFERROR(INDEX(Players!$P$2:$P$301,MATCH($B51,Players!$B$2:$B$301,0)),""))</f>
        <v/>
      </c>
      <c r="I51">
        <f>IF($B51="","",IFERROR(INDEX(Players!$Q$2:$Q$301,MATCH($B51,Players!$B$2:$B$301,0)),""))</f>
        <v/>
      </c>
      <c r="J51">
        <f>IF($B51="","",IFERROR(INDEX(Players!$R$2:$R$301,MATCH($B51,Players!$B$2:$B$301,0)),""))</f>
        <v/>
      </c>
    </row>
    <row r="52">
      <c r="A52" t="n">
        <v>10</v>
      </c>
      <c r="B52">
        <f>IFERROR(INDEX(Board!$D$2:$D$17,10),"")</f>
        <v/>
      </c>
      <c r="C52">
        <f>IF($B52="","",IFERROR(INDEX(Players!$C$2:$C$301,MATCH($B52,Players!$B$2:$B$301,0)),""))</f>
        <v/>
      </c>
      <c r="D52">
        <f>IF($B52="","",IFERROR(INDEX(Players!$D$2:$D$301,MATCH($B52,Players!$B$2:$B$301,0)),""))</f>
        <v/>
      </c>
      <c r="E52">
        <f>IF($B52="","",IFERROR(INDEX(Players!$M$2:$M$301,MATCH($B52,Players!$B$2:$B$301,0)),""))</f>
        <v/>
      </c>
      <c r="F52">
        <f>IF($B52="","",IFERROR(INDEX(Players!$N$2:$N$301,MATCH($B52,Players!$B$2:$B$301,0)),""))</f>
        <v/>
      </c>
      <c r="G52">
        <f>IF($B52="","",IFERROR(INDEX(Players!$O$2:$O$301,MATCH($B52,Players!$B$2:$B$301,0)),""))</f>
        <v/>
      </c>
      <c r="H52">
        <f>IF($B52="","",IFERROR(INDEX(Players!$P$2:$P$301,MATCH($B52,Players!$B$2:$B$301,0)),""))</f>
        <v/>
      </c>
      <c r="I52">
        <f>IF($B52="","",IFERROR(INDEX(Players!$Q$2:$Q$301,MATCH($B52,Players!$B$2:$B$301,0)),""))</f>
        <v/>
      </c>
      <c r="J52">
        <f>IF($B52="","",IFERROR(INDEX(Players!$R$2:$R$301,MATCH($B52,Players!$B$2:$B$301,0)),""))</f>
        <v/>
      </c>
    </row>
    <row r="53">
      <c r="A53" t="n">
        <v>11</v>
      </c>
      <c r="B53">
        <f>IFERROR(INDEX(Board!$D$2:$D$17,11),"")</f>
        <v/>
      </c>
      <c r="C53">
        <f>IF($B53="","",IFERROR(INDEX(Players!$C$2:$C$301,MATCH($B53,Players!$B$2:$B$301,0)),""))</f>
        <v/>
      </c>
      <c r="D53">
        <f>IF($B53="","",IFERROR(INDEX(Players!$D$2:$D$301,MATCH($B53,Players!$B$2:$B$301,0)),""))</f>
        <v/>
      </c>
      <c r="E53">
        <f>IF($B53="","",IFERROR(INDEX(Players!$M$2:$M$301,MATCH($B53,Players!$B$2:$B$301,0)),""))</f>
        <v/>
      </c>
      <c r="F53">
        <f>IF($B53="","",IFERROR(INDEX(Players!$N$2:$N$301,MATCH($B53,Players!$B$2:$B$301,0)),""))</f>
        <v/>
      </c>
      <c r="G53">
        <f>IF($B53="","",IFERROR(INDEX(Players!$O$2:$O$301,MATCH($B53,Players!$B$2:$B$301,0)),""))</f>
        <v/>
      </c>
      <c r="H53">
        <f>IF($B53="","",IFERROR(INDEX(Players!$P$2:$P$301,MATCH($B53,Players!$B$2:$B$301,0)),""))</f>
        <v/>
      </c>
      <c r="I53">
        <f>IF($B53="","",IFERROR(INDEX(Players!$Q$2:$Q$301,MATCH($B53,Players!$B$2:$B$301,0)),""))</f>
        <v/>
      </c>
      <c r="J53">
        <f>IF($B53="","",IFERROR(INDEX(Players!$R$2:$R$301,MATCH($B53,Players!$B$2:$B$301,0)),""))</f>
        <v/>
      </c>
    </row>
    <row r="54">
      <c r="A54" t="n">
        <v>12</v>
      </c>
      <c r="B54">
        <f>IFERROR(INDEX(Board!$D$2:$D$17,12),"")</f>
        <v/>
      </c>
      <c r="C54">
        <f>IF($B54="","",IFERROR(INDEX(Players!$C$2:$C$301,MATCH($B54,Players!$B$2:$B$301,0)),""))</f>
        <v/>
      </c>
      <c r="D54">
        <f>IF($B54="","",IFERROR(INDEX(Players!$D$2:$D$301,MATCH($B54,Players!$B$2:$B$301,0)),""))</f>
        <v/>
      </c>
      <c r="E54">
        <f>IF($B54="","",IFERROR(INDEX(Players!$M$2:$M$301,MATCH($B54,Players!$B$2:$B$301,0)),""))</f>
        <v/>
      </c>
      <c r="F54">
        <f>IF($B54="","",IFERROR(INDEX(Players!$N$2:$N$301,MATCH($B54,Players!$B$2:$B$301,0)),""))</f>
        <v/>
      </c>
      <c r="G54">
        <f>IF($B54="","",IFERROR(INDEX(Players!$O$2:$O$301,MATCH($B54,Players!$B$2:$B$301,0)),""))</f>
        <v/>
      </c>
      <c r="H54">
        <f>IF($B54="","",IFERROR(INDEX(Players!$P$2:$P$301,MATCH($B54,Players!$B$2:$B$301,0)),""))</f>
        <v/>
      </c>
      <c r="I54">
        <f>IF($B54="","",IFERROR(INDEX(Players!$Q$2:$Q$301,MATCH($B54,Players!$B$2:$B$301,0)),""))</f>
        <v/>
      </c>
      <c r="J54">
        <f>IF($B54="","",IFERROR(INDEX(Players!$R$2:$R$301,MATCH($B54,Players!$B$2:$B$301,0)),""))</f>
        <v/>
      </c>
    </row>
    <row r="55">
      <c r="A55" t="n">
        <v>13</v>
      </c>
      <c r="B55">
        <f>IFERROR(INDEX(Board!$D$2:$D$17,13),"")</f>
        <v/>
      </c>
      <c r="C55">
        <f>IF($B55="","",IFERROR(INDEX(Players!$C$2:$C$301,MATCH($B55,Players!$B$2:$B$301,0)),""))</f>
        <v/>
      </c>
      <c r="D55">
        <f>IF($B55="","",IFERROR(INDEX(Players!$D$2:$D$301,MATCH($B55,Players!$B$2:$B$301,0)),""))</f>
        <v/>
      </c>
      <c r="E55">
        <f>IF($B55="","",IFERROR(INDEX(Players!$M$2:$M$301,MATCH($B55,Players!$B$2:$B$301,0)),""))</f>
        <v/>
      </c>
      <c r="F55">
        <f>IF($B55="","",IFERROR(INDEX(Players!$N$2:$N$301,MATCH($B55,Players!$B$2:$B$301,0)),""))</f>
        <v/>
      </c>
      <c r="G55">
        <f>IF($B55="","",IFERROR(INDEX(Players!$O$2:$O$301,MATCH($B55,Players!$B$2:$B$301,0)),""))</f>
        <v/>
      </c>
      <c r="H55">
        <f>IF($B55="","",IFERROR(INDEX(Players!$P$2:$P$301,MATCH($B55,Players!$B$2:$B$301,0)),""))</f>
        <v/>
      </c>
      <c r="I55">
        <f>IF($B55="","",IFERROR(INDEX(Players!$Q$2:$Q$301,MATCH($B55,Players!$B$2:$B$301,0)),""))</f>
        <v/>
      </c>
      <c r="J55">
        <f>IF($B55="","",IFERROR(INDEX(Players!$R$2:$R$301,MATCH($B55,Players!$B$2:$B$301,0)),""))</f>
        <v/>
      </c>
    </row>
    <row r="56">
      <c r="A56" t="n">
        <v>14</v>
      </c>
      <c r="B56">
        <f>IFERROR(INDEX(Board!$D$2:$D$17,14),"")</f>
        <v/>
      </c>
      <c r="C56">
        <f>IF($B56="","",IFERROR(INDEX(Players!$C$2:$C$301,MATCH($B56,Players!$B$2:$B$301,0)),""))</f>
        <v/>
      </c>
      <c r="D56">
        <f>IF($B56="","",IFERROR(INDEX(Players!$D$2:$D$301,MATCH($B56,Players!$B$2:$B$301,0)),""))</f>
        <v/>
      </c>
      <c r="E56">
        <f>IF($B56="","",IFERROR(INDEX(Players!$M$2:$M$301,MATCH($B56,Players!$B$2:$B$301,0)),""))</f>
        <v/>
      </c>
      <c r="F56">
        <f>IF($B56="","",IFERROR(INDEX(Players!$N$2:$N$301,MATCH($B56,Players!$B$2:$B$301,0)),""))</f>
        <v/>
      </c>
      <c r="G56">
        <f>IF($B56="","",IFERROR(INDEX(Players!$O$2:$O$301,MATCH($B56,Players!$B$2:$B$301,0)),""))</f>
        <v/>
      </c>
      <c r="H56">
        <f>IF($B56="","",IFERROR(INDEX(Players!$P$2:$P$301,MATCH($B56,Players!$B$2:$B$301,0)),""))</f>
        <v/>
      </c>
      <c r="I56">
        <f>IF($B56="","",IFERROR(INDEX(Players!$Q$2:$Q$301,MATCH($B56,Players!$B$2:$B$301,0)),""))</f>
        <v/>
      </c>
      <c r="J56">
        <f>IF($B56="","",IFERROR(INDEX(Players!$R$2:$R$301,MATCH($B56,Players!$B$2:$B$301,0)),""))</f>
        <v/>
      </c>
    </row>
    <row r="57">
      <c r="A57" t="n">
        <v>15</v>
      </c>
      <c r="B57">
        <f>IFERROR(INDEX(Board!$D$2:$D$17,15),"")</f>
        <v/>
      </c>
      <c r="C57">
        <f>IF($B57="","",IFERROR(INDEX(Players!$C$2:$C$301,MATCH($B57,Players!$B$2:$B$301,0)),""))</f>
        <v/>
      </c>
      <c r="D57">
        <f>IF($B57="","",IFERROR(INDEX(Players!$D$2:$D$301,MATCH($B57,Players!$B$2:$B$301,0)),""))</f>
        <v/>
      </c>
      <c r="E57">
        <f>IF($B57="","",IFERROR(INDEX(Players!$M$2:$M$301,MATCH($B57,Players!$B$2:$B$301,0)),""))</f>
        <v/>
      </c>
      <c r="F57">
        <f>IF($B57="","",IFERROR(INDEX(Players!$N$2:$N$301,MATCH($B57,Players!$B$2:$B$301,0)),""))</f>
        <v/>
      </c>
      <c r="G57">
        <f>IF($B57="","",IFERROR(INDEX(Players!$O$2:$O$301,MATCH($B57,Players!$B$2:$B$301,0)),""))</f>
        <v/>
      </c>
      <c r="H57">
        <f>IF($B57="","",IFERROR(INDEX(Players!$P$2:$P$301,MATCH($B57,Players!$B$2:$B$301,0)),""))</f>
        <v/>
      </c>
      <c r="I57">
        <f>IF($B57="","",IFERROR(INDEX(Players!$Q$2:$Q$301,MATCH($B57,Players!$B$2:$B$301,0)),""))</f>
        <v/>
      </c>
      <c r="J57">
        <f>IF($B57="","",IFERROR(INDEX(Players!$R$2:$R$301,MATCH($B57,Players!$B$2:$B$301,0)),""))</f>
        <v/>
      </c>
    </row>
    <row r="58">
      <c r="A58" t="n">
        <v>16</v>
      </c>
      <c r="B58">
        <f>IFERROR(INDEX(Board!$D$2:$D$17,16),"")</f>
        <v/>
      </c>
      <c r="C58">
        <f>IF($B58="","",IFERROR(INDEX(Players!$C$2:$C$301,MATCH($B58,Players!$B$2:$B$301,0)),""))</f>
        <v/>
      </c>
      <c r="D58">
        <f>IF($B58="","",IFERROR(INDEX(Players!$D$2:$D$301,MATCH($B58,Players!$B$2:$B$301,0)),""))</f>
        <v/>
      </c>
      <c r="E58">
        <f>IF($B58="","",IFERROR(INDEX(Players!$M$2:$M$301,MATCH($B58,Players!$B$2:$B$301,0)),""))</f>
        <v/>
      </c>
      <c r="F58">
        <f>IF($B58="","",IFERROR(INDEX(Players!$N$2:$N$301,MATCH($B58,Players!$B$2:$B$301,0)),""))</f>
        <v/>
      </c>
      <c r="G58">
        <f>IF($B58="","",IFERROR(INDEX(Players!$O$2:$O$301,MATCH($B58,Players!$B$2:$B$301,0)),""))</f>
        <v/>
      </c>
      <c r="H58">
        <f>IF($B58="","",IFERROR(INDEX(Players!$P$2:$P$301,MATCH($B58,Players!$B$2:$B$301,0)),""))</f>
        <v/>
      </c>
      <c r="I58">
        <f>IF($B58="","",IFERROR(INDEX(Players!$Q$2:$Q$301,MATCH($B58,Players!$B$2:$B$301,0)),""))</f>
        <v/>
      </c>
      <c r="J58">
        <f>IF($B58="","",IFERROR(INDEX(Players!$R$2:$R$301,MATCH($B58,Players!$B$2:$B$301,0)),""))</f>
        <v/>
      </c>
    </row>
    <row r="59">
      <c r="B59" s="29" t="inlineStr">
        <is>
          <t>TOTAL</t>
        </is>
      </c>
      <c r="E59" s="33">
        <f>SUM(E43:E58)</f>
        <v/>
      </c>
      <c r="F59" s="33">
        <f>SUM(F43:F58)</f>
        <v/>
      </c>
      <c r="G59" s="33">
        <f>SUM(G43:G58)</f>
        <v/>
      </c>
      <c r="H59" s="33">
        <f>SUM(H43:H58)</f>
        <v/>
      </c>
      <c r="I59" s="33">
        <f>SUM(I43:I58)</f>
        <v/>
      </c>
      <c r="J59" s="33">
        <f>SUM(J43:J58)</f>
        <v/>
      </c>
    </row>
    <row r="60">
      <c r="A60" s="34" t="inlineStr">
        <is>
          <t>Team 4</t>
        </is>
      </c>
    </row>
    <row r="61">
      <c r="A61" s="23" t="inlineStr">
        <is>
          <t>Pick</t>
        </is>
      </c>
      <c r="B61" s="23" t="inlineStr">
        <is>
          <t>Player</t>
        </is>
      </c>
      <c r="C61" s="23" t="inlineStr">
        <is>
          <t>Team</t>
        </is>
      </c>
      <c r="D61" s="23" t="inlineStr">
        <is>
          <t>Pos</t>
        </is>
      </c>
      <c r="E61" s="23" t="inlineStr">
        <is>
          <t>G</t>
        </is>
      </c>
      <c r="F61" s="23" t="inlineStr">
        <is>
          <t>A</t>
        </is>
      </c>
      <c r="G61" s="23" t="inlineStr">
        <is>
          <t>PPP</t>
        </is>
      </c>
      <c r="H61" s="23" t="inlineStr">
        <is>
          <t>SOG</t>
        </is>
      </c>
      <c r="I61" s="23" t="inlineStr">
        <is>
          <t>HIT</t>
        </is>
      </c>
      <c r="J61" s="23" t="inlineStr">
        <is>
          <t>BLK</t>
        </is>
      </c>
    </row>
    <row r="62">
      <c r="A62" t="n">
        <v>1</v>
      </c>
      <c r="B62">
        <f>IFERROR(INDEX(Board!$E$2:$E$17,1),"")</f>
        <v/>
      </c>
      <c r="C62">
        <f>IF($B62="","",IFERROR(INDEX(Players!$C$2:$C$301,MATCH($B62,Players!$B$2:$B$301,0)),""))</f>
        <v/>
      </c>
      <c r="D62">
        <f>IF($B62="","",IFERROR(INDEX(Players!$D$2:$D$301,MATCH($B62,Players!$B$2:$B$301,0)),""))</f>
        <v/>
      </c>
      <c r="E62">
        <f>IF($B62="","",IFERROR(INDEX(Players!$M$2:$M$301,MATCH($B62,Players!$B$2:$B$301,0)),""))</f>
        <v/>
      </c>
      <c r="F62">
        <f>IF($B62="","",IFERROR(INDEX(Players!$N$2:$N$301,MATCH($B62,Players!$B$2:$B$301,0)),""))</f>
        <v/>
      </c>
      <c r="G62">
        <f>IF($B62="","",IFERROR(INDEX(Players!$O$2:$O$301,MATCH($B62,Players!$B$2:$B$301,0)),""))</f>
        <v/>
      </c>
      <c r="H62">
        <f>IF($B62="","",IFERROR(INDEX(Players!$P$2:$P$301,MATCH($B62,Players!$B$2:$B$301,0)),""))</f>
        <v/>
      </c>
      <c r="I62">
        <f>IF($B62="","",IFERROR(INDEX(Players!$Q$2:$Q$301,MATCH($B62,Players!$B$2:$B$301,0)),""))</f>
        <v/>
      </c>
      <c r="J62">
        <f>IF($B62="","",IFERROR(INDEX(Players!$R$2:$R$301,MATCH($B62,Players!$B$2:$B$301,0)),""))</f>
        <v/>
      </c>
    </row>
    <row r="63">
      <c r="A63" t="n">
        <v>2</v>
      </c>
      <c r="B63">
        <f>IFERROR(INDEX(Board!$E$2:$E$17,2),"")</f>
        <v/>
      </c>
      <c r="C63">
        <f>IF($B63="","",IFERROR(INDEX(Players!$C$2:$C$301,MATCH($B63,Players!$B$2:$B$301,0)),""))</f>
        <v/>
      </c>
      <c r="D63">
        <f>IF($B63="","",IFERROR(INDEX(Players!$D$2:$D$301,MATCH($B63,Players!$B$2:$B$301,0)),""))</f>
        <v/>
      </c>
      <c r="E63">
        <f>IF($B63="","",IFERROR(INDEX(Players!$M$2:$M$301,MATCH($B63,Players!$B$2:$B$301,0)),""))</f>
        <v/>
      </c>
      <c r="F63">
        <f>IF($B63="","",IFERROR(INDEX(Players!$N$2:$N$301,MATCH($B63,Players!$B$2:$B$301,0)),""))</f>
        <v/>
      </c>
      <c r="G63">
        <f>IF($B63="","",IFERROR(INDEX(Players!$O$2:$O$301,MATCH($B63,Players!$B$2:$B$301,0)),""))</f>
        <v/>
      </c>
      <c r="H63">
        <f>IF($B63="","",IFERROR(INDEX(Players!$P$2:$P$301,MATCH($B63,Players!$B$2:$B$301,0)),""))</f>
        <v/>
      </c>
      <c r="I63">
        <f>IF($B63="","",IFERROR(INDEX(Players!$Q$2:$Q$301,MATCH($B63,Players!$B$2:$B$301,0)),""))</f>
        <v/>
      </c>
      <c r="J63">
        <f>IF($B63="","",IFERROR(INDEX(Players!$R$2:$R$301,MATCH($B63,Players!$B$2:$B$301,0)),""))</f>
        <v/>
      </c>
    </row>
    <row r="64">
      <c r="A64" t="n">
        <v>3</v>
      </c>
      <c r="B64">
        <f>IFERROR(INDEX(Board!$E$2:$E$17,3),"")</f>
        <v/>
      </c>
      <c r="C64">
        <f>IF($B64="","",IFERROR(INDEX(Players!$C$2:$C$301,MATCH($B64,Players!$B$2:$B$301,0)),""))</f>
        <v/>
      </c>
      <c r="D64">
        <f>IF($B64="","",IFERROR(INDEX(Players!$D$2:$D$301,MATCH($B64,Players!$B$2:$B$301,0)),""))</f>
        <v/>
      </c>
      <c r="E64">
        <f>IF($B64="","",IFERROR(INDEX(Players!$M$2:$M$301,MATCH($B64,Players!$B$2:$B$301,0)),""))</f>
        <v/>
      </c>
      <c r="F64">
        <f>IF($B64="","",IFERROR(INDEX(Players!$N$2:$N$301,MATCH($B64,Players!$B$2:$B$301,0)),""))</f>
        <v/>
      </c>
      <c r="G64">
        <f>IF($B64="","",IFERROR(INDEX(Players!$O$2:$O$301,MATCH($B64,Players!$B$2:$B$301,0)),""))</f>
        <v/>
      </c>
      <c r="H64">
        <f>IF($B64="","",IFERROR(INDEX(Players!$P$2:$P$301,MATCH($B64,Players!$B$2:$B$301,0)),""))</f>
        <v/>
      </c>
      <c r="I64">
        <f>IF($B64="","",IFERROR(INDEX(Players!$Q$2:$Q$301,MATCH($B64,Players!$B$2:$B$301,0)),""))</f>
        <v/>
      </c>
      <c r="J64">
        <f>IF($B64="","",IFERROR(INDEX(Players!$R$2:$R$301,MATCH($B64,Players!$B$2:$B$301,0)),""))</f>
        <v/>
      </c>
    </row>
    <row r="65">
      <c r="A65" t="n">
        <v>4</v>
      </c>
      <c r="B65">
        <f>IFERROR(INDEX(Board!$E$2:$E$17,4),"")</f>
        <v/>
      </c>
      <c r="C65">
        <f>IF($B65="","",IFERROR(INDEX(Players!$C$2:$C$301,MATCH($B65,Players!$B$2:$B$301,0)),""))</f>
        <v/>
      </c>
      <c r="D65">
        <f>IF($B65="","",IFERROR(INDEX(Players!$D$2:$D$301,MATCH($B65,Players!$B$2:$B$301,0)),""))</f>
        <v/>
      </c>
      <c r="E65">
        <f>IF($B65="","",IFERROR(INDEX(Players!$M$2:$M$301,MATCH($B65,Players!$B$2:$B$301,0)),""))</f>
        <v/>
      </c>
      <c r="F65">
        <f>IF($B65="","",IFERROR(INDEX(Players!$N$2:$N$301,MATCH($B65,Players!$B$2:$B$301,0)),""))</f>
        <v/>
      </c>
      <c r="G65">
        <f>IF($B65="","",IFERROR(INDEX(Players!$O$2:$O$301,MATCH($B65,Players!$B$2:$B$301,0)),""))</f>
        <v/>
      </c>
      <c r="H65">
        <f>IF($B65="","",IFERROR(INDEX(Players!$P$2:$P$301,MATCH($B65,Players!$B$2:$B$301,0)),""))</f>
        <v/>
      </c>
      <c r="I65">
        <f>IF($B65="","",IFERROR(INDEX(Players!$Q$2:$Q$301,MATCH($B65,Players!$B$2:$B$301,0)),""))</f>
        <v/>
      </c>
      <c r="J65">
        <f>IF($B65="","",IFERROR(INDEX(Players!$R$2:$R$301,MATCH($B65,Players!$B$2:$B$301,0)),""))</f>
        <v/>
      </c>
    </row>
    <row r="66">
      <c r="A66" t="n">
        <v>5</v>
      </c>
      <c r="B66">
        <f>IFERROR(INDEX(Board!$E$2:$E$17,5),"")</f>
        <v/>
      </c>
      <c r="C66">
        <f>IF($B66="","",IFERROR(INDEX(Players!$C$2:$C$301,MATCH($B66,Players!$B$2:$B$301,0)),""))</f>
        <v/>
      </c>
      <c r="D66">
        <f>IF($B66="","",IFERROR(INDEX(Players!$D$2:$D$301,MATCH($B66,Players!$B$2:$B$301,0)),""))</f>
        <v/>
      </c>
      <c r="E66">
        <f>IF($B66="","",IFERROR(INDEX(Players!$M$2:$M$301,MATCH($B66,Players!$B$2:$B$301,0)),""))</f>
        <v/>
      </c>
      <c r="F66">
        <f>IF($B66="","",IFERROR(INDEX(Players!$N$2:$N$301,MATCH($B66,Players!$B$2:$B$301,0)),""))</f>
        <v/>
      </c>
      <c r="G66">
        <f>IF($B66="","",IFERROR(INDEX(Players!$O$2:$O$301,MATCH($B66,Players!$B$2:$B$301,0)),""))</f>
        <v/>
      </c>
      <c r="H66">
        <f>IF($B66="","",IFERROR(INDEX(Players!$P$2:$P$301,MATCH($B66,Players!$B$2:$B$301,0)),""))</f>
        <v/>
      </c>
      <c r="I66">
        <f>IF($B66="","",IFERROR(INDEX(Players!$Q$2:$Q$301,MATCH($B66,Players!$B$2:$B$301,0)),""))</f>
        <v/>
      </c>
      <c r="J66">
        <f>IF($B66="","",IFERROR(INDEX(Players!$R$2:$R$301,MATCH($B66,Players!$B$2:$B$301,0)),""))</f>
        <v/>
      </c>
    </row>
    <row r="67">
      <c r="A67" t="n">
        <v>6</v>
      </c>
      <c r="B67">
        <f>IFERROR(INDEX(Board!$E$2:$E$17,6),"")</f>
        <v/>
      </c>
      <c r="C67">
        <f>IF($B67="","",IFERROR(INDEX(Players!$C$2:$C$301,MATCH($B67,Players!$B$2:$B$301,0)),""))</f>
        <v/>
      </c>
      <c r="D67">
        <f>IF($B67="","",IFERROR(INDEX(Players!$D$2:$D$301,MATCH($B67,Players!$B$2:$B$301,0)),""))</f>
        <v/>
      </c>
      <c r="E67">
        <f>IF($B67="","",IFERROR(INDEX(Players!$M$2:$M$301,MATCH($B67,Players!$B$2:$B$301,0)),""))</f>
        <v/>
      </c>
      <c r="F67">
        <f>IF($B67="","",IFERROR(INDEX(Players!$N$2:$N$301,MATCH($B67,Players!$B$2:$B$301,0)),""))</f>
        <v/>
      </c>
      <c r="G67">
        <f>IF($B67="","",IFERROR(INDEX(Players!$O$2:$O$301,MATCH($B67,Players!$B$2:$B$301,0)),""))</f>
        <v/>
      </c>
      <c r="H67">
        <f>IF($B67="","",IFERROR(INDEX(Players!$P$2:$P$301,MATCH($B67,Players!$B$2:$B$301,0)),""))</f>
        <v/>
      </c>
      <c r="I67">
        <f>IF($B67="","",IFERROR(INDEX(Players!$Q$2:$Q$301,MATCH($B67,Players!$B$2:$B$301,0)),""))</f>
        <v/>
      </c>
      <c r="J67">
        <f>IF($B67="","",IFERROR(INDEX(Players!$R$2:$R$301,MATCH($B67,Players!$B$2:$B$301,0)),""))</f>
        <v/>
      </c>
    </row>
    <row r="68">
      <c r="A68" t="n">
        <v>7</v>
      </c>
      <c r="B68">
        <f>IFERROR(INDEX(Board!$E$2:$E$17,7),"")</f>
        <v/>
      </c>
      <c r="C68">
        <f>IF($B68="","",IFERROR(INDEX(Players!$C$2:$C$301,MATCH($B68,Players!$B$2:$B$301,0)),""))</f>
        <v/>
      </c>
      <c r="D68">
        <f>IF($B68="","",IFERROR(INDEX(Players!$D$2:$D$301,MATCH($B68,Players!$B$2:$B$301,0)),""))</f>
        <v/>
      </c>
      <c r="E68">
        <f>IF($B68="","",IFERROR(INDEX(Players!$M$2:$M$301,MATCH($B68,Players!$B$2:$B$301,0)),""))</f>
        <v/>
      </c>
      <c r="F68">
        <f>IF($B68="","",IFERROR(INDEX(Players!$N$2:$N$301,MATCH($B68,Players!$B$2:$B$301,0)),""))</f>
        <v/>
      </c>
      <c r="G68">
        <f>IF($B68="","",IFERROR(INDEX(Players!$O$2:$O$301,MATCH($B68,Players!$B$2:$B$301,0)),""))</f>
        <v/>
      </c>
      <c r="H68">
        <f>IF($B68="","",IFERROR(INDEX(Players!$P$2:$P$301,MATCH($B68,Players!$B$2:$B$301,0)),""))</f>
        <v/>
      </c>
      <c r="I68">
        <f>IF($B68="","",IFERROR(INDEX(Players!$Q$2:$Q$301,MATCH($B68,Players!$B$2:$B$301,0)),""))</f>
        <v/>
      </c>
      <c r="J68">
        <f>IF($B68="","",IFERROR(INDEX(Players!$R$2:$R$301,MATCH($B68,Players!$B$2:$B$301,0)),""))</f>
        <v/>
      </c>
    </row>
    <row r="69">
      <c r="A69" t="n">
        <v>8</v>
      </c>
      <c r="B69">
        <f>IFERROR(INDEX(Board!$E$2:$E$17,8),"")</f>
        <v/>
      </c>
      <c r="C69">
        <f>IF($B69="","",IFERROR(INDEX(Players!$C$2:$C$301,MATCH($B69,Players!$B$2:$B$301,0)),""))</f>
        <v/>
      </c>
      <c r="D69">
        <f>IF($B69="","",IFERROR(INDEX(Players!$D$2:$D$301,MATCH($B69,Players!$B$2:$B$301,0)),""))</f>
        <v/>
      </c>
      <c r="E69">
        <f>IF($B69="","",IFERROR(INDEX(Players!$M$2:$M$301,MATCH($B69,Players!$B$2:$B$301,0)),""))</f>
        <v/>
      </c>
      <c r="F69">
        <f>IF($B69="","",IFERROR(INDEX(Players!$N$2:$N$301,MATCH($B69,Players!$B$2:$B$301,0)),""))</f>
        <v/>
      </c>
      <c r="G69">
        <f>IF($B69="","",IFERROR(INDEX(Players!$O$2:$O$301,MATCH($B69,Players!$B$2:$B$301,0)),""))</f>
        <v/>
      </c>
      <c r="H69">
        <f>IF($B69="","",IFERROR(INDEX(Players!$P$2:$P$301,MATCH($B69,Players!$B$2:$B$301,0)),""))</f>
        <v/>
      </c>
      <c r="I69">
        <f>IF($B69="","",IFERROR(INDEX(Players!$Q$2:$Q$301,MATCH($B69,Players!$B$2:$B$301,0)),""))</f>
        <v/>
      </c>
      <c r="J69">
        <f>IF($B69="","",IFERROR(INDEX(Players!$R$2:$R$301,MATCH($B69,Players!$B$2:$B$301,0)),""))</f>
        <v/>
      </c>
    </row>
    <row r="70">
      <c r="A70" t="n">
        <v>9</v>
      </c>
      <c r="B70">
        <f>IFERROR(INDEX(Board!$E$2:$E$17,9),"")</f>
        <v/>
      </c>
      <c r="C70">
        <f>IF($B70="","",IFERROR(INDEX(Players!$C$2:$C$301,MATCH($B70,Players!$B$2:$B$301,0)),""))</f>
        <v/>
      </c>
      <c r="D70">
        <f>IF($B70="","",IFERROR(INDEX(Players!$D$2:$D$301,MATCH($B70,Players!$B$2:$B$301,0)),""))</f>
        <v/>
      </c>
      <c r="E70">
        <f>IF($B70="","",IFERROR(INDEX(Players!$M$2:$M$301,MATCH($B70,Players!$B$2:$B$301,0)),""))</f>
        <v/>
      </c>
      <c r="F70">
        <f>IF($B70="","",IFERROR(INDEX(Players!$N$2:$N$301,MATCH($B70,Players!$B$2:$B$301,0)),""))</f>
        <v/>
      </c>
      <c r="G70">
        <f>IF($B70="","",IFERROR(INDEX(Players!$O$2:$O$301,MATCH($B70,Players!$B$2:$B$301,0)),""))</f>
        <v/>
      </c>
      <c r="H70">
        <f>IF($B70="","",IFERROR(INDEX(Players!$P$2:$P$301,MATCH($B70,Players!$B$2:$B$301,0)),""))</f>
        <v/>
      </c>
      <c r="I70">
        <f>IF($B70="","",IFERROR(INDEX(Players!$Q$2:$Q$301,MATCH($B70,Players!$B$2:$B$301,0)),""))</f>
        <v/>
      </c>
      <c r="J70">
        <f>IF($B70="","",IFERROR(INDEX(Players!$R$2:$R$301,MATCH($B70,Players!$B$2:$B$301,0)),""))</f>
        <v/>
      </c>
    </row>
    <row r="71">
      <c r="A71" t="n">
        <v>10</v>
      </c>
      <c r="B71">
        <f>IFERROR(INDEX(Board!$E$2:$E$17,10),"")</f>
        <v/>
      </c>
      <c r="C71">
        <f>IF($B71="","",IFERROR(INDEX(Players!$C$2:$C$301,MATCH($B71,Players!$B$2:$B$301,0)),""))</f>
        <v/>
      </c>
      <c r="D71">
        <f>IF($B71="","",IFERROR(INDEX(Players!$D$2:$D$301,MATCH($B71,Players!$B$2:$B$301,0)),""))</f>
        <v/>
      </c>
      <c r="E71">
        <f>IF($B71="","",IFERROR(INDEX(Players!$M$2:$M$301,MATCH($B71,Players!$B$2:$B$301,0)),""))</f>
        <v/>
      </c>
      <c r="F71">
        <f>IF($B71="","",IFERROR(INDEX(Players!$N$2:$N$301,MATCH($B71,Players!$B$2:$B$301,0)),""))</f>
        <v/>
      </c>
      <c r="G71">
        <f>IF($B71="","",IFERROR(INDEX(Players!$O$2:$O$301,MATCH($B71,Players!$B$2:$B$301,0)),""))</f>
        <v/>
      </c>
      <c r="H71">
        <f>IF($B71="","",IFERROR(INDEX(Players!$P$2:$P$301,MATCH($B71,Players!$B$2:$B$301,0)),""))</f>
        <v/>
      </c>
      <c r="I71">
        <f>IF($B71="","",IFERROR(INDEX(Players!$Q$2:$Q$301,MATCH($B71,Players!$B$2:$B$301,0)),""))</f>
        <v/>
      </c>
      <c r="J71">
        <f>IF($B71="","",IFERROR(INDEX(Players!$R$2:$R$301,MATCH($B71,Players!$B$2:$B$301,0)),""))</f>
        <v/>
      </c>
    </row>
    <row r="72">
      <c r="A72" t="n">
        <v>11</v>
      </c>
      <c r="B72">
        <f>IFERROR(INDEX(Board!$E$2:$E$17,11),"")</f>
        <v/>
      </c>
      <c r="C72">
        <f>IF($B72="","",IFERROR(INDEX(Players!$C$2:$C$301,MATCH($B72,Players!$B$2:$B$301,0)),""))</f>
        <v/>
      </c>
      <c r="D72">
        <f>IF($B72="","",IFERROR(INDEX(Players!$D$2:$D$301,MATCH($B72,Players!$B$2:$B$301,0)),""))</f>
        <v/>
      </c>
      <c r="E72">
        <f>IF($B72="","",IFERROR(INDEX(Players!$M$2:$M$301,MATCH($B72,Players!$B$2:$B$301,0)),""))</f>
        <v/>
      </c>
      <c r="F72">
        <f>IF($B72="","",IFERROR(INDEX(Players!$N$2:$N$301,MATCH($B72,Players!$B$2:$B$301,0)),""))</f>
        <v/>
      </c>
      <c r="G72">
        <f>IF($B72="","",IFERROR(INDEX(Players!$O$2:$O$301,MATCH($B72,Players!$B$2:$B$301,0)),""))</f>
        <v/>
      </c>
      <c r="H72">
        <f>IF($B72="","",IFERROR(INDEX(Players!$P$2:$P$301,MATCH($B72,Players!$B$2:$B$301,0)),""))</f>
        <v/>
      </c>
      <c r="I72">
        <f>IF($B72="","",IFERROR(INDEX(Players!$Q$2:$Q$301,MATCH($B72,Players!$B$2:$B$301,0)),""))</f>
        <v/>
      </c>
      <c r="J72">
        <f>IF($B72="","",IFERROR(INDEX(Players!$R$2:$R$301,MATCH($B72,Players!$B$2:$B$301,0)),""))</f>
        <v/>
      </c>
    </row>
    <row r="73">
      <c r="A73" t="n">
        <v>12</v>
      </c>
      <c r="B73">
        <f>IFERROR(INDEX(Board!$E$2:$E$17,12),"")</f>
        <v/>
      </c>
      <c r="C73">
        <f>IF($B73="","",IFERROR(INDEX(Players!$C$2:$C$301,MATCH($B73,Players!$B$2:$B$301,0)),""))</f>
        <v/>
      </c>
      <c r="D73">
        <f>IF($B73="","",IFERROR(INDEX(Players!$D$2:$D$301,MATCH($B73,Players!$B$2:$B$301,0)),""))</f>
        <v/>
      </c>
      <c r="E73">
        <f>IF($B73="","",IFERROR(INDEX(Players!$M$2:$M$301,MATCH($B73,Players!$B$2:$B$301,0)),""))</f>
        <v/>
      </c>
      <c r="F73">
        <f>IF($B73="","",IFERROR(INDEX(Players!$N$2:$N$301,MATCH($B73,Players!$B$2:$B$301,0)),""))</f>
        <v/>
      </c>
      <c r="G73">
        <f>IF($B73="","",IFERROR(INDEX(Players!$O$2:$O$301,MATCH($B73,Players!$B$2:$B$301,0)),""))</f>
        <v/>
      </c>
      <c r="H73">
        <f>IF($B73="","",IFERROR(INDEX(Players!$P$2:$P$301,MATCH($B73,Players!$B$2:$B$301,0)),""))</f>
        <v/>
      </c>
      <c r="I73">
        <f>IF($B73="","",IFERROR(INDEX(Players!$Q$2:$Q$301,MATCH($B73,Players!$B$2:$B$301,0)),""))</f>
        <v/>
      </c>
      <c r="J73">
        <f>IF($B73="","",IFERROR(INDEX(Players!$R$2:$R$301,MATCH($B73,Players!$B$2:$B$301,0)),""))</f>
        <v/>
      </c>
    </row>
    <row r="74">
      <c r="A74" t="n">
        <v>13</v>
      </c>
      <c r="B74">
        <f>IFERROR(INDEX(Board!$E$2:$E$17,13),"")</f>
        <v/>
      </c>
      <c r="C74">
        <f>IF($B74="","",IFERROR(INDEX(Players!$C$2:$C$301,MATCH($B74,Players!$B$2:$B$301,0)),""))</f>
        <v/>
      </c>
      <c r="D74">
        <f>IF($B74="","",IFERROR(INDEX(Players!$D$2:$D$301,MATCH($B74,Players!$B$2:$B$301,0)),""))</f>
        <v/>
      </c>
      <c r="E74">
        <f>IF($B74="","",IFERROR(INDEX(Players!$M$2:$M$301,MATCH($B74,Players!$B$2:$B$301,0)),""))</f>
        <v/>
      </c>
      <c r="F74">
        <f>IF($B74="","",IFERROR(INDEX(Players!$N$2:$N$301,MATCH($B74,Players!$B$2:$B$301,0)),""))</f>
        <v/>
      </c>
      <c r="G74">
        <f>IF($B74="","",IFERROR(INDEX(Players!$O$2:$O$301,MATCH($B74,Players!$B$2:$B$301,0)),""))</f>
        <v/>
      </c>
      <c r="H74">
        <f>IF($B74="","",IFERROR(INDEX(Players!$P$2:$P$301,MATCH($B74,Players!$B$2:$B$301,0)),""))</f>
        <v/>
      </c>
      <c r="I74">
        <f>IF($B74="","",IFERROR(INDEX(Players!$Q$2:$Q$301,MATCH($B74,Players!$B$2:$B$301,0)),""))</f>
        <v/>
      </c>
      <c r="J74">
        <f>IF($B74="","",IFERROR(INDEX(Players!$R$2:$R$301,MATCH($B74,Players!$B$2:$B$301,0)),""))</f>
        <v/>
      </c>
    </row>
    <row r="75">
      <c r="A75" t="n">
        <v>14</v>
      </c>
      <c r="B75">
        <f>IFERROR(INDEX(Board!$E$2:$E$17,14),"")</f>
        <v/>
      </c>
      <c r="C75">
        <f>IF($B75="","",IFERROR(INDEX(Players!$C$2:$C$301,MATCH($B75,Players!$B$2:$B$301,0)),""))</f>
        <v/>
      </c>
      <c r="D75">
        <f>IF($B75="","",IFERROR(INDEX(Players!$D$2:$D$301,MATCH($B75,Players!$B$2:$B$301,0)),""))</f>
        <v/>
      </c>
      <c r="E75">
        <f>IF($B75="","",IFERROR(INDEX(Players!$M$2:$M$301,MATCH($B75,Players!$B$2:$B$301,0)),""))</f>
        <v/>
      </c>
      <c r="F75">
        <f>IF($B75="","",IFERROR(INDEX(Players!$N$2:$N$301,MATCH($B75,Players!$B$2:$B$301,0)),""))</f>
        <v/>
      </c>
      <c r="G75">
        <f>IF($B75="","",IFERROR(INDEX(Players!$O$2:$O$301,MATCH($B75,Players!$B$2:$B$301,0)),""))</f>
        <v/>
      </c>
      <c r="H75">
        <f>IF($B75="","",IFERROR(INDEX(Players!$P$2:$P$301,MATCH($B75,Players!$B$2:$B$301,0)),""))</f>
        <v/>
      </c>
      <c r="I75">
        <f>IF($B75="","",IFERROR(INDEX(Players!$Q$2:$Q$301,MATCH($B75,Players!$B$2:$B$301,0)),""))</f>
        <v/>
      </c>
      <c r="J75">
        <f>IF($B75="","",IFERROR(INDEX(Players!$R$2:$R$301,MATCH($B75,Players!$B$2:$B$301,0)),""))</f>
        <v/>
      </c>
    </row>
    <row r="76">
      <c r="A76" t="n">
        <v>15</v>
      </c>
      <c r="B76">
        <f>IFERROR(INDEX(Board!$E$2:$E$17,15),"")</f>
        <v/>
      </c>
      <c r="C76">
        <f>IF($B76="","",IFERROR(INDEX(Players!$C$2:$C$301,MATCH($B76,Players!$B$2:$B$301,0)),""))</f>
        <v/>
      </c>
      <c r="D76">
        <f>IF($B76="","",IFERROR(INDEX(Players!$D$2:$D$301,MATCH($B76,Players!$B$2:$B$301,0)),""))</f>
        <v/>
      </c>
      <c r="E76">
        <f>IF($B76="","",IFERROR(INDEX(Players!$M$2:$M$301,MATCH($B76,Players!$B$2:$B$301,0)),""))</f>
        <v/>
      </c>
      <c r="F76">
        <f>IF($B76="","",IFERROR(INDEX(Players!$N$2:$N$301,MATCH($B76,Players!$B$2:$B$301,0)),""))</f>
        <v/>
      </c>
      <c r="G76">
        <f>IF($B76="","",IFERROR(INDEX(Players!$O$2:$O$301,MATCH($B76,Players!$B$2:$B$301,0)),""))</f>
        <v/>
      </c>
      <c r="H76">
        <f>IF($B76="","",IFERROR(INDEX(Players!$P$2:$P$301,MATCH($B76,Players!$B$2:$B$301,0)),""))</f>
        <v/>
      </c>
      <c r="I76">
        <f>IF($B76="","",IFERROR(INDEX(Players!$Q$2:$Q$301,MATCH($B76,Players!$B$2:$B$301,0)),""))</f>
        <v/>
      </c>
      <c r="J76">
        <f>IF($B76="","",IFERROR(INDEX(Players!$R$2:$R$301,MATCH($B76,Players!$B$2:$B$301,0)),""))</f>
        <v/>
      </c>
    </row>
    <row r="77">
      <c r="A77" t="n">
        <v>16</v>
      </c>
      <c r="B77">
        <f>IFERROR(INDEX(Board!$E$2:$E$17,16),"")</f>
        <v/>
      </c>
      <c r="C77">
        <f>IF($B77="","",IFERROR(INDEX(Players!$C$2:$C$301,MATCH($B77,Players!$B$2:$B$301,0)),""))</f>
        <v/>
      </c>
      <c r="D77">
        <f>IF($B77="","",IFERROR(INDEX(Players!$D$2:$D$301,MATCH($B77,Players!$B$2:$B$301,0)),""))</f>
        <v/>
      </c>
      <c r="E77">
        <f>IF($B77="","",IFERROR(INDEX(Players!$M$2:$M$301,MATCH($B77,Players!$B$2:$B$301,0)),""))</f>
        <v/>
      </c>
      <c r="F77">
        <f>IF($B77="","",IFERROR(INDEX(Players!$N$2:$N$301,MATCH($B77,Players!$B$2:$B$301,0)),""))</f>
        <v/>
      </c>
      <c r="G77">
        <f>IF($B77="","",IFERROR(INDEX(Players!$O$2:$O$301,MATCH($B77,Players!$B$2:$B$301,0)),""))</f>
        <v/>
      </c>
      <c r="H77">
        <f>IF($B77="","",IFERROR(INDEX(Players!$P$2:$P$301,MATCH($B77,Players!$B$2:$B$301,0)),""))</f>
        <v/>
      </c>
      <c r="I77">
        <f>IF($B77="","",IFERROR(INDEX(Players!$Q$2:$Q$301,MATCH($B77,Players!$B$2:$B$301,0)),""))</f>
        <v/>
      </c>
      <c r="J77">
        <f>IF($B77="","",IFERROR(INDEX(Players!$R$2:$R$301,MATCH($B77,Players!$B$2:$B$301,0)),""))</f>
        <v/>
      </c>
    </row>
    <row r="78">
      <c r="B78" s="29" t="inlineStr">
        <is>
          <t>TOTAL</t>
        </is>
      </c>
      <c r="E78" s="33">
        <f>SUM(E62:E77)</f>
        <v/>
      </c>
      <c r="F78" s="33">
        <f>SUM(F62:F77)</f>
        <v/>
      </c>
      <c r="G78" s="33">
        <f>SUM(G62:G77)</f>
        <v/>
      </c>
      <c r="H78" s="33">
        <f>SUM(H62:H77)</f>
        <v/>
      </c>
      <c r="I78" s="33">
        <f>SUM(I62:I77)</f>
        <v/>
      </c>
      <c r="J78" s="33">
        <f>SUM(J62:J77)</f>
        <v/>
      </c>
    </row>
    <row r="79">
      <c r="A79" s="34" t="inlineStr">
        <is>
          <t>Team 5</t>
        </is>
      </c>
    </row>
    <row r="80">
      <c r="A80" s="23" t="inlineStr">
        <is>
          <t>Pick</t>
        </is>
      </c>
      <c r="B80" s="23" t="inlineStr">
        <is>
          <t>Player</t>
        </is>
      </c>
      <c r="C80" s="23" t="inlineStr">
        <is>
          <t>Team</t>
        </is>
      </c>
      <c r="D80" s="23" t="inlineStr">
        <is>
          <t>Pos</t>
        </is>
      </c>
      <c r="E80" s="23" t="inlineStr">
        <is>
          <t>G</t>
        </is>
      </c>
      <c r="F80" s="23" t="inlineStr">
        <is>
          <t>A</t>
        </is>
      </c>
      <c r="G80" s="23" t="inlineStr">
        <is>
          <t>PPP</t>
        </is>
      </c>
      <c r="H80" s="23" t="inlineStr">
        <is>
          <t>SOG</t>
        </is>
      </c>
      <c r="I80" s="23" t="inlineStr">
        <is>
          <t>HIT</t>
        </is>
      </c>
      <c r="J80" s="23" t="inlineStr">
        <is>
          <t>BLK</t>
        </is>
      </c>
    </row>
    <row r="81">
      <c r="A81" t="n">
        <v>1</v>
      </c>
      <c r="B81">
        <f>IFERROR(INDEX(Board!$F$2:$F$17,1),"")</f>
        <v/>
      </c>
      <c r="C81">
        <f>IF($B81="","",IFERROR(INDEX(Players!$C$2:$C$301,MATCH($B81,Players!$B$2:$B$301,0)),""))</f>
        <v/>
      </c>
      <c r="D81">
        <f>IF($B81="","",IFERROR(INDEX(Players!$D$2:$D$301,MATCH($B81,Players!$B$2:$B$301,0)),""))</f>
        <v/>
      </c>
      <c r="E81">
        <f>IF($B81="","",IFERROR(INDEX(Players!$M$2:$M$301,MATCH($B81,Players!$B$2:$B$301,0)),""))</f>
        <v/>
      </c>
      <c r="F81">
        <f>IF($B81="","",IFERROR(INDEX(Players!$N$2:$N$301,MATCH($B81,Players!$B$2:$B$301,0)),""))</f>
        <v/>
      </c>
      <c r="G81">
        <f>IF($B81="","",IFERROR(INDEX(Players!$O$2:$O$301,MATCH($B81,Players!$B$2:$B$301,0)),""))</f>
        <v/>
      </c>
      <c r="H81">
        <f>IF($B81="","",IFERROR(INDEX(Players!$P$2:$P$301,MATCH($B81,Players!$B$2:$B$301,0)),""))</f>
        <v/>
      </c>
      <c r="I81">
        <f>IF($B81="","",IFERROR(INDEX(Players!$Q$2:$Q$301,MATCH($B81,Players!$B$2:$B$301,0)),""))</f>
        <v/>
      </c>
      <c r="J81">
        <f>IF($B81="","",IFERROR(INDEX(Players!$R$2:$R$301,MATCH($B81,Players!$B$2:$B$301,0)),""))</f>
        <v/>
      </c>
    </row>
    <row r="82">
      <c r="A82" t="n">
        <v>2</v>
      </c>
      <c r="B82">
        <f>IFERROR(INDEX(Board!$F$2:$F$17,2),"")</f>
        <v/>
      </c>
      <c r="C82">
        <f>IF($B82="","",IFERROR(INDEX(Players!$C$2:$C$301,MATCH($B82,Players!$B$2:$B$301,0)),""))</f>
        <v/>
      </c>
      <c r="D82">
        <f>IF($B82="","",IFERROR(INDEX(Players!$D$2:$D$301,MATCH($B82,Players!$B$2:$B$301,0)),""))</f>
        <v/>
      </c>
      <c r="E82">
        <f>IF($B82="","",IFERROR(INDEX(Players!$M$2:$M$301,MATCH($B82,Players!$B$2:$B$301,0)),""))</f>
        <v/>
      </c>
      <c r="F82">
        <f>IF($B82="","",IFERROR(INDEX(Players!$N$2:$N$301,MATCH($B82,Players!$B$2:$B$301,0)),""))</f>
        <v/>
      </c>
      <c r="G82">
        <f>IF($B82="","",IFERROR(INDEX(Players!$O$2:$O$301,MATCH($B82,Players!$B$2:$B$301,0)),""))</f>
        <v/>
      </c>
      <c r="H82">
        <f>IF($B82="","",IFERROR(INDEX(Players!$P$2:$P$301,MATCH($B82,Players!$B$2:$B$301,0)),""))</f>
        <v/>
      </c>
      <c r="I82">
        <f>IF($B82="","",IFERROR(INDEX(Players!$Q$2:$Q$301,MATCH($B82,Players!$B$2:$B$301,0)),""))</f>
        <v/>
      </c>
      <c r="J82">
        <f>IF($B82="","",IFERROR(INDEX(Players!$R$2:$R$301,MATCH($B82,Players!$B$2:$B$301,0)),""))</f>
        <v/>
      </c>
    </row>
    <row r="83">
      <c r="A83" t="n">
        <v>3</v>
      </c>
      <c r="B83">
        <f>IFERROR(INDEX(Board!$F$2:$F$17,3),"")</f>
        <v/>
      </c>
      <c r="C83">
        <f>IF($B83="","",IFERROR(INDEX(Players!$C$2:$C$301,MATCH($B83,Players!$B$2:$B$301,0)),""))</f>
        <v/>
      </c>
      <c r="D83">
        <f>IF($B83="","",IFERROR(INDEX(Players!$D$2:$D$301,MATCH($B83,Players!$B$2:$B$301,0)),""))</f>
        <v/>
      </c>
      <c r="E83">
        <f>IF($B83="","",IFERROR(INDEX(Players!$M$2:$M$301,MATCH($B83,Players!$B$2:$B$301,0)),""))</f>
        <v/>
      </c>
      <c r="F83">
        <f>IF($B83="","",IFERROR(INDEX(Players!$N$2:$N$301,MATCH($B83,Players!$B$2:$B$301,0)),""))</f>
        <v/>
      </c>
      <c r="G83">
        <f>IF($B83="","",IFERROR(INDEX(Players!$O$2:$O$301,MATCH($B83,Players!$B$2:$B$301,0)),""))</f>
        <v/>
      </c>
      <c r="H83">
        <f>IF($B83="","",IFERROR(INDEX(Players!$P$2:$P$301,MATCH($B83,Players!$B$2:$B$301,0)),""))</f>
        <v/>
      </c>
      <c r="I83">
        <f>IF($B83="","",IFERROR(INDEX(Players!$Q$2:$Q$301,MATCH($B83,Players!$B$2:$B$301,0)),""))</f>
        <v/>
      </c>
      <c r="J83">
        <f>IF($B83="","",IFERROR(INDEX(Players!$R$2:$R$301,MATCH($B83,Players!$B$2:$B$301,0)),""))</f>
        <v/>
      </c>
    </row>
    <row r="84">
      <c r="A84" t="n">
        <v>4</v>
      </c>
      <c r="B84">
        <f>IFERROR(INDEX(Board!$F$2:$F$17,4),"")</f>
        <v/>
      </c>
      <c r="C84">
        <f>IF($B84="","",IFERROR(INDEX(Players!$C$2:$C$301,MATCH($B84,Players!$B$2:$B$301,0)),""))</f>
        <v/>
      </c>
      <c r="D84">
        <f>IF($B84="","",IFERROR(INDEX(Players!$D$2:$D$301,MATCH($B84,Players!$B$2:$B$301,0)),""))</f>
        <v/>
      </c>
      <c r="E84">
        <f>IF($B84="","",IFERROR(INDEX(Players!$M$2:$M$301,MATCH($B84,Players!$B$2:$B$301,0)),""))</f>
        <v/>
      </c>
      <c r="F84">
        <f>IF($B84="","",IFERROR(INDEX(Players!$N$2:$N$301,MATCH($B84,Players!$B$2:$B$301,0)),""))</f>
        <v/>
      </c>
      <c r="G84">
        <f>IF($B84="","",IFERROR(INDEX(Players!$O$2:$O$301,MATCH($B84,Players!$B$2:$B$301,0)),""))</f>
        <v/>
      </c>
      <c r="H84">
        <f>IF($B84="","",IFERROR(INDEX(Players!$P$2:$P$301,MATCH($B84,Players!$B$2:$B$301,0)),""))</f>
        <v/>
      </c>
      <c r="I84">
        <f>IF($B84="","",IFERROR(INDEX(Players!$Q$2:$Q$301,MATCH($B84,Players!$B$2:$B$301,0)),""))</f>
        <v/>
      </c>
      <c r="J84">
        <f>IF($B84="","",IFERROR(INDEX(Players!$R$2:$R$301,MATCH($B84,Players!$B$2:$B$301,0)),""))</f>
        <v/>
      </c>
    </row>
    <row r="85">
      <c r="A85" t="n">
        <v>5</v>
      </c>
      <c r="B85">
        <f>IFERROR(INDEX(Board!$F$2:$F$17,5),"")</f>
        <v/>
      </c>
      <c r="C85">
        <f>IF($B85="","",IFERROR(INDEX(Players!$C$2:$C$301,MATCH($B85,Players!$B$2:$B$301,0)),""))</f>
        <v/>
      </c>
      <c r="D85">
        <f>IF($B85="","",IFERROR(INDEX(Players!$D$2:$D$301,MATCH($B85,Players!$B$2:$B$301,0)),""))</f>
        <v/>
      </c>
      <c r="E85">
        <f>IF($B85="","",IFERROR(INDEX(Players!$M$2:$M$301,MATCH($B85,Players!$B$2:$B$301,0)),""))</f>
        <v/>
      </c>
      <c r="F85">
        <f>IF($B85="","",IFERROR(INDEX(Players!$N$2:$N$301,MATCH($B85,Players!$B$2:$B$301,0)),""))</f>
        <v/>
      </c>
      <c r="G85">
        <f>IF($B85="","",IFERROR(INDEX(Players!$O$2:$O$301,MATCH($B85,Players!$B$2:$B$301,0)),""))</f>
        <v/>
      </c>
      <c r="H85">
        <f>IF($B85="","",IFERROR(INDEX(Players!$P$2:$P$301,MATCH($B85,Players!$B$2:$B$301,0)),""))</f>
        <v/>
      </c>
      <c r="I85">
        <f>IF($B85="","",IFERROR(INDEX(Players!$Q$2:$Q$301,MATCH($B85,Players!$B$2:$B$301,0)),""))</f>
        <v/>
      </c>
      <c r="J85">
        <f>IF($B85="","",IFERROR(INDEX(Players!$R$2:$R$301,MATCH($B85,Players!$B$2:$B$301,0)),""))</f>
        <v/>
      </c>
    </row>
    <row r="86">
      <c r="A86" t="n">
        <v>6</v>
      </c>
      <c r="B86">
        <f>IFERROR(INDEX(Board!$F$2:$F$17,6),"")</f>
        <v/>
      </c>
      <c r="C86">
        <f>IF($B86="","",IFERROR(INDEX(Players!$C$2:$C$301,MATCH($B86,Players!$B$2:$B$301,0)),""))</f>
        <v/>
      </c>
      <c r="D86">
        <f>IF($B86="","",IFERROR(INDEX(Players!$D$2:$D$301,MATCH($B86,Players!$B$2:$B$301,0)),""))</f>
        <v/>
      </c>
      <c r="E86">
        <f>IF($B86="","",IFERROR(INDEX(Players!$M$2:$M$301,MATCH($B86,Players!$B$2:$B$301,0)),""))</f>
        <v/>
      </c>
      <c r="F86">
        <f>IF($B86="","",IFERROR(INDEX(Players!$N$2:$N$301,MATCH($B86,Players!$B$2:$B$301,0)),""))</f>
        <v/>
      </c>
      <c r="G86">
        <f>IF($B86="","",IFERROR(INDEX(Players!$O$2:$O$301,MATCH($B86,Players!$B$2:$B$301,0)),""))</f>
        <v/>
      </c>
      <c r="H86">
        <f>IF($B86="","",IFERROR(INDEX(Players!$P$2:$P$301,MATCH($B86,Players!$B$2:$B$301,0)),""))</f>
        <v/>
      </c>
      <c r="I86">
        <f>IF($B86="","",IFERROR(INDEX(Players!$Q$2:$Q$301,MATCH($B86,Players!$B$2:$B$301,0)),""))</f>
        <v/>
      </c>
      <c r="J86">
        <f>IF($B86="","",IFERROR(INDEX(Players!$R$2:$R$301,MATCH($B86,Players!$B$2:$B$301,0)),""))</f>
        <v/>
      </c>
    </row>
    <row r="87">
      <c r="A87" t="n">
        <v>7</v>
      </c>
      <c r="B87">
        <f>IFERROR(INDEX(Board!$F$2:$F$17,7),"")</f>
        <v/>
      </c>
      <c r="C87">
        <f>IF($B87="","",IFERROR(INDEX(Players!$C$2:$C$301,MATCH($B87,Players!$B$2:$B$301,0)),""))</f>
        <v/>
      </c>
      <c r="D87">
        <f>IF($B87="","",IFERROR(INDEX(Players!$D$2:$D$301,MATCH($B87,Players!$B$2:$B$301,0)),""))</f>
        <v/>
      </c>
      <c r="E87">
        <f>IF($B87="","",IFERROR(INDEX(Players!$M$2:$M$301,MATCH($B87,Players!$B$2:$B$301,0)),""))</f>
        <v/>
      </c>
      <c r="F87">
        <f>IF($B87="","",IFERROR(INDEX(Players!$N$2:$N$301,MATCH($B87,Players!$B$2:$B$301,0)),""))</f>
        <v/>
      </c>
      <c r="G87">
        <f>IF($B87="","",IFERROR(INDEX(Players!$O$2:$O$301,MATCH($B87,Players!$B$2:$B$301,0)),""))</f>
        <v/>
      </c>
      <c r="H87">
        <f>IF($B87="","",IFERROR(INDEX(Players!$P$2:$P$301,MATCH($B87,Players!$B$2:$B$301,0)),""))</f>
        <v/>
      </c>
      <c r="I87">
        <f>IF($B87="","",IFERROR(INDEX(Players!$Q$2:$Q$301,MATCH($B87,Players!$B$2:$B$301,0)),""))</f>
        <v/>
      </c>
      <c r="J87">
        <f>IF($B87="","",IFERROR(INDEX(Players!$R$2:$R$301,MATCH($B87,Players!$B$2:$B$301,0)),""))</f>
        <v/>
      </c>
    </row>
    <row r="88">
      <c r="A88" t="n">
        <v>8</v>
      </c>
      <c r="B88">
        <f>IFERROR(INDEX(Board!$F$2:$F$17,8),"")</f>
        <v/>
      </c>
      <c r="C88">
        <f>IF($B88="","",IFERROR(INDEX(Players!$C$2:$C$301,MATCH($B88,Players!$B$2:$B$301,0)),""))</f>
        <v/>
      </c>
      <c r="D88">
        <f>IF($B88="","",IFERROR(INDEX(Players!$D$2:$D$301,MATCH($B88,Players!$B$2:$B$301,0)),""))</f>
        <v/>
      </c>
      <c r="E88">
        <f>IF($B88="","",IFERROR(INDEX(Players!$M$2:$M$301,MATCH($B88,Players!$B$2:$B$301,0)),""))</f>
        <v/>
      </c>
      <c r="F88">
        <f>IF($B88="","",IFERROR(INDEX(Players!$N$2:$N$301,MATCH($B88,Players!$B$2:$B$301,0)),""))</f>
        <v/>
      </c>
      <c r="G88">
        <f>IF($B88="","",IFERROR(INDEX(Players!$O$2:$O$301,MATCH($B88,Players!$B$2:$B$301,0)),""))</f>
        <v/>
      </c>
      <c r="H88">
        <f>IF($B88="","",IFERROR(INDEX(Players!$P$2:$P$301,MATCH($B88,Players!$B$2:$B$301,0)),""))</f>
        <v/>
      </c>
      <c r="I88">
        <f>IF($B88="","",IFERROR(INDEX(Players!$Q$2:$Q$301,MATCH($B88,Players!$B$2:$B$301,0)),""))</f>
        <v/>
      </c>
      <c r="J88">
        <f>IF($B88="","",IFERROR(INDEX(Players!$R$2:$R$301,MATCH($B88,Players!$B$2:$B$301,0)),""))</f>
        <v/>
      </c>
    </row>
    <row r="89">
      <c r="A89" t="n">
        <v>9</v>
      </c>
      <c r="B89">
        <f>IFERROR(INDEX(Board!$F$2:$F$17,9),"")</f>
        <v/>
      </c>
      <c r="C89">
        <f>IF($B89="","",IFERROR(INDEX(Players!$C$2:$C$301,MATCH($B89,Players!$B$2:$B$301,0)),""))</f>
        <v/>
      </c>
      <c r="D89">
        <f>IF($B89="","",IFERROR(INDEX(Players!$D$2:$D$301,MATCH($B89,Players!$B$2:$B$301,0)),""))</f>
        <v/>
      </c>
      <c r="E89">
        <f>IF($B89="","",IFERROR(INDEX(Players!$M$2:$M$301,MATCH($B89,Players!$B$2:$B$301,0)),""))</f>
        <v/>
      </c>
      <c r="F89">
        <f>IF($B89="","",IFERROR(INDEX(Players!$N$2:$N$301,MATCH($B89,Players!$B$2:$B$301,0)),""))</f>
        <v/>
      </c>
      <c r="G89">
        <f>IF($B89="","",IFERROR(INDEX(Players!$O$2:$O$301,MATCH($B89,Players!$B$2:$B$301,0)),""))</f>
        <v/>
      </c>
      <c r="H89">
        <f>IF($B89="","",IFERROR(INDEX(Players!$P$2:$P$301,MATCH($B89,Players!$B$2:$B$301,0)),""))</f>
        <v/>
      </c>
      <c r="I89">
        <f>IF($B89="","",IFERROR(INDEX(Players!$Q$2:$Q$301,MATCH($B89,Players!$B$2:$B$301,0)),""))</f>
        <v/>
      </c>
      <c r="J89">
        <f>IF($B89="","",IFERROR(INDEX(Players!$R$2:$R$301,MATCH($B89,Players!$B$2:$B$301,0)),""))</f>
        <v/>
      </c>
    </row>
    <row r="90">
      <c r="A90" t="n">
        <v>10</v>
      </c>
      <c r="B90">
        <f>IFERROR(INDEX(Board!$F$2:$F$17,10),"")</f>
        <v/>
      </c>
      <c r="C90">
        <f>IF($B90="","",IFERROR(INDEX(Players!$C$2:$C$301,MATCH($B90,Players!$B$2:$B$301,0)),""))</f>
        <v/>
      </c>
      <c r="D90">
        <f>IF($B90="","",IFERROR(INDEX(Players!$D$2:$D$301,MATCH($B90,Players!$B$2:$B$301,0)),""))</f>
        <v/>
      </c>
      <c r="E90">
        <f>IF($B90="","",IFERROR(INDEX(Players!$M$2:$M$301,MATCH($B90,Players!$B$2:$B$301,0)),""))</f>
        <v/>
      </c>
      <c r="F90">
        <f>IF($B90="","",IFERROR(INDEX(Players!$N$2:$N$301,MATCH($B90,Players!$B$2:$B$301,0)),""))</f>
        <v/>
      </c>
      <c r="G90">
        <f>IF($B90="","",IFERROR(INDEX(Players!$O$2:$O$301,MATCH($B90,Players!$B$2:$B$301,0)),""))</f>
        <v/>
      </c>
      <c r="H90">
        <f>IF($B90="","",IFERROR(INDEX(Players!$P$2:$P$301,MATCH($B90,Players!$B$2:$B$301,0)),""))</f>
        <v/>
      </c>
      <c r="I90">
        <f>IF($B90="","",IFERROR(INDEX(Players!$Q$2:$Q$301,MATCH($B90,Players!$B$2:$B$301,0)),""))</f>
        <v/>
      </c>
      <c r="J90">
        <f>IF($B90="","",IFERROR(INDEX(Players!$R$2:$R$301,MATCH($B90,Players!$B$2:$B$301,0)),""))</f>
        <v/>
      </c>
    </row>
    <row r="91">
      <c r="A91" t="n">
        <v>11</v>
      </c>
      <c r="B91">
        <f>IFERROR(INDEX(Board!$F$2:$F$17,11),"")</f>
        <v/>
      </c>
      <c r="C91">
        <f>IF($B91="","",IFERROR(INDEX(Players!$C$2:$C$301,MATCH($B91,Players!$B$2:$B$301,0)),""))</f>
        <v/>
      </c>
      <c r="D91">
        <f>IF($B91="","",IFERROR(INDEX(Players!$D$2:$D$301,MATCH($B91,Players!$B$2:$B$301,0)),""))</f>
        <v/>
      </c>
      <c r="E91">
        <f>IF($B91="","",IFERROR(INDEX(Players!$M$2:$M$301,MATCH($B91,Players!$B$2:$B$301,0)),""))</f>
        <v/>
      </c>
      <c r="F91">
        <f>IF($B91="","",IFERROR(INDEX(Players!$N$2:$N$301,MATCH($B91,Players!$B$2:$B$301,0)),""))</f>
        <v/>
      </c>
      <c r="G91">
        <f>IF($B91="","",IFERROR(INDEX(Players!$O$2:$O$301,MATCH($B91,Players!$B$2:$B$301,0)),""))</f>
        <v/>
      </c>
      <c r="H91">
        <f>IF($B91="","",IFERROR(INDEX(Players!$P$2:$P$301,MATCH($B91,Players!$B$2:$B$301,0)),""))</f>
        <v/>
      </c>
      <c r="I91">
        <f>IF($B91="","",IFERROR(INDEX(Players!$Q$2:$Q$301,MATCH($B91,Players!$B$2:$B$301,0)),""))</f>
        <v/>
      </c>
      <c r="J91">
        <f>IF($B91="","",IFERROR(INDEX(Players!$R$2:$R$301,MATCH($B91,Players!$B$2:$B$301,0)),""))</f>
        <v/>
      </c>
    </row>
    <row r="92">
      <c r="A92" t="n">
        <v>12</v>
      </c>
      <c r="B92">
        <f>IFERROR(INDEX(Board!$F$2:$F$17,12),"")</f>
        <v/>
      </c>
      <c r="C92">
        <f>IF($B92="","",IFERROR(INDEX(Players!$C$2:$C$301,MATCH($B92,Players!$B$2:$B$301,0)),""))</f>
        <v/>
      </c>
      <c r="D92">
        <f>IF($B92="","",IFERROR(INDEX(Players!$D$2:$D$301,MATCH($B92,Players!$B$2:$B$301,0)),""))</f>
        <v/>
      </c>
      <c r="E92">
        <f>IF($B92="","",IFERROR(INDEX(Players!$M$2:$M$301,MATCH($B92,Players!$B$2:$B$301,0)),""))</f>
        <v/>
      </c>
      <c r="F92">
        <f>IF($B92="","",IFERROR(INDEX(Players!$N$2:$N$301,MATCH($B92,Players!$B$2:$B$301,0)),""))</f>
        <v/>
      </c>
      <c r="G92">
        <f>IF($B92="","",IFERROR(INDEX(Players!$O$2:$O$301,MATCH($B92,Players!$B$2:$B$301,0)),""))</f>
        <v/>
      </c>
      <c r="H92">
        <f>IF($B92="","",IFERROR(INDEX(Players!$P$2:$P$301,MATCH($B92,Players!$B$2:$B$301,0)),""))</f>
        <v/>
      </c>
      <c r="I92">
        <f>IF($B92="","",IFERROR(INDEX(Players!$Q$2:$Q$301,MATCH($B92,Players!$B$2:$B$301,0)),""))</f>
        <v/>
      </c>
      <c r="J92">
        <f>IF($B92="","",IFERROR(INDEX(Players!$R$2:$R$301,MATCH($B92,Players!$B$2:$B$301,0)),""))</f>
        <v/>
      </c>
    </row>
    <row r="93">
      <c r="A93" t="n">
        <v>13</v>
      </c>
      <c r="B93">
        <f>IFERROR(INDEX(Board!$F$2:$F$17,13),"")</f>
        <v/>
      </c>
      <c r="C93">
        <f>IF($B93="","",IFERROR(INDEX(Players!$C$2:$C$301,MATCH($B93,Players!$B$2:$B$301,0)),""))</f>
        <v/>
      </c>
      <c r="D93">
        <f>IF($B93="","",IFERROR(INDEX(Players!$D$2:$D$301,MATCH($B93,Players!$B$2:$B$301,0)),""))</f>
        <v/>
      </c>
      <c r="E93">
        <f>IF($B93="","",IFERROR(INDEX(Players!$M$2:$M$301,MATCH($B93,Players!$B$2:$B$301,0)),""))</f>
        <v/>
      </c>
      <c r="F93">
        <f>IF($B93="","",IFERROR(INDEX(Players!$N$2:$N$301,MATCH($B93,Players!$B$2:$B$301,0)),""))</f>
        <v/>
      </c>
      <c r="G93">
        <f>IF($B93="","",IFERROR(INDEX(Players!$O$2:$O$301,MATCH($B93,Players!$B$2:$B$301,0)),""))</f>
        <v/>
      </c>
      <c r="H93">
        <f>IF($B93="","",IFERROR(INDEX(Players!$P$2:$P$301,MATCH($B93,Players!$B$2:$B$301,0)),""))</f>
        <v/>
      </c>
      <c r="I93">
        <f>IF($B93="","",IFERROR(INDEX(Players!$Q$2:$Q$301,MATCH($B93,Players!$B$2:$B$301,0)),""))</f>
        <v/>
      </c>
      <c r="J93">
        <f>IF($B93="","",IFERROR(INDEX(Players!$R$2:$R$301,MATCH($B93,Players!$B$2:$B$301,0)),""))</f>
        <v/>
      </c>
    </row>
    <row r="94">
      <c r="A94" t="n">
        <v>14</v>
      </c>
      <c r="B94">
        <f>IFERROR(INDEX(Board!$F$2:$F$17,14),"")</f>
        <v/>
      </c>
      <c r="C94">
        <f>IF($B94="","",IFERROR(INDEX(Players!$C$2:$C$301,MATCH($B94,Players!$B$2:$B$301,0)),""))</f>
        <v/>
      </c>
      <c r="D94">
        <f>IF($B94="","",IFERROR(INDEX(Players!$D$2:$D$301,MATCH($B94,Players!$B$2:$B$301,0)),""))</f>
        <v/>
      </c>
      <c r="E94">
        <f>IF($B94="","",IFERROR(INDEX(Players!$M$2:$M$301,MATCH($B94,Players!$B$2:$B$301,0)),""))</f>
        <v/>
      </c>
      <c r="F94">
        <f>IF($B94="","",IFERROR(INDEX(Players!$N$2:$N$301,MATCH($B94,Players!$B$2:$B$301,0)),""))</f>
        <v/>
      </c>
      <c r="G94">
        <f>IF($B94="","",IFERROR(INDEX(Players!$O$2:$O$301,MATCH($B94,Players!$B$2:$B$301,0)),""))</f>
        <v/>
      </c>
      <c r="H94">
        <f>IF($B94="","",IFERROR(INDEX(Players!$P$2:$P$301,MATCH($B94,Players!$B$2:$B$301,0)),""))</f>
        <v/>
      </c>
      <c r="I94">
        <f>IF($B94="","",IFERROR(INDEX(Players!$Q$2:$Q$301,MATCH($B94,Players!$B$2:$B$301,0)),""))</f>
        <v/>
      </c>
      <c r="J94">
        <f>IF($B94="","",IFERROR(INDEX(Players!$R$2:$R$301,MATCH($B94,Players!$B$2:$B$301,0)),""))</f>
        <v/>
      </c>
    </row>
    <row r="95">
      <c r="A95" t="n">
        <v>15</v>
      </c>
      <c r="B95">
        <f>IFERROR(INDEX(Board!$F$2:$F$17,15),"")</f>
        <v/>
      </c>
      <c r="C95">
        <f>IF($B95="","",IFERROR(INDEX(Players!$C$2:$C$301,MATCH($B95,Players!$B$2:$B$301,0)),""))</f>
        <v/>
      </c>
      <c r="D95">
        <f>IF($B95="","",IFERROR(INDEX(Players!$D$2:$D$301,MATCH($B95,Players!$B$2:$B$301,0)),""))</f>
        <v/>
      </c>
      <c r="E95">
        <f>IF($B95="","",IFERROR(INDEX(Players!$M$2:$M$301,MATCH($B95,Players!$B$2:$B$301,0)),""))</f>
        <v/>
      </c>
      <c r="F95">
        <f>IF($B95="","",IFERROR(INDEX(Players!$N$2:$N$301,MATCH($B95,Players!$B$2:$B$301,0)),""))</f>
        <v/>
      </c>
      <c r="G95">
        <f>IF($B95="","",IFERROR(INDEX(Players!$O$2:$O$301,MATCH($B95,Players!$B$2:$B$301,0)),""))</f>
        <v/>
      </c>
      <c r="H95">
        <f>IF($B95="","",IFERROR(INDEX(Players!$P$2:$P$301,MATCH($B95,Players!$B$2:$B$301,0)),""))</f>
        <v/>
      </c>
      <c r="I95">
        <f>IF($B95="","",IFERROR(INDEX(Players!$Q$2:$Q$301,MATCH($B95,Players!$B$2:$B$301,0)),""))</f>
        <v/>
      </c>
      <c r="J95">
        <f>IF($B95="","",IFERROR(INDEX(Players!$R$2:$R$301,MATCH($B95,Players!$B$2:$B$301,0)),""))</f>
        <v/>
      </c>
    </row>
    <row r="96">
      <c r="A96" t="n">
        <v>16</v>
      </c>
      <c r="B96">
        <f>IFERROR(INDEX(Board!$F$2:$F$17,16),"")</f>
        <v/>
      </c>
      <c r="C96">
        <f>IF($B96="","",IFERROR(INDEX(Players!$C$2:$C$301,MATCH($B96,Players!$B$2:$B$301,0)),""))</f>
        <v/>
      </c>
      <c r="D96">
        <f>IF($B96="","",IFERROR(INDEX(Players!$D$2:$D$301,MATCH($B96,Players!$B$2:$B$301,0)),""))</f>
        <v/>
      </c>
      <c r="E96">
        <f>IF($B96="","",IFERROR(INDEX(Players!$M$2:$M$301,MATCH($B96,Players!$B$2:$B$301,0)),""))</f>
        <v/>
      </c>
      <c r="F96">
        <f>IF($B96="","",IFERROR(INDEX(Players!$N$2:$N$301,MATCH($B96,Players!$B$2:$B$301,0)),""))</f>
        <v/>
      </c>
      <c r="G96">
        <f>IF($B96="","",IFERROR(INDEX(Players!$O$2:$O$301,MATCH($B96,Players!$B$2:$B$301,0)),""))</f>
        <v/>
      </c>
      <c r="H96">
        <f>IF($B96="","",IFERROR(INDEX(Players!$P$2:$P$301,MATCH($B96,Players!$B$2:$B$301,0)),""))</f>
        <v/>
      </c>
      <c r="I96">
        <f>IF($B96="","",IFERROR(INDEX(Players!$Q$2:$Q$301,MATCH($B96,Players!$B$2:$B$301,0)),""))</f>
        <v/>
      </c>
      <c r="J96">
        <f>IF($B96="","",IFERROR(INDEX(Players!$R$2:$R$301,MATCH($B96,Players!$B$2:$B$301,0)),""))</f>
        <v/>
      </c>
    </row>
    <row r="97">
      <c r="B97" s="29" t="inlineStr">
        <is>
          <t>TOTAL</t>
        </is>
      </c>
      <c r="E97" s="33">
        <f>SUM(E81:E96)</f>
        <v/>
      </c>
      <c r="F97" s="33">
        <f>SUM(F81:F96)</f>
        <v/>
      </c>
      <c r="G97" s="33">
        <f>SUM(G81:G96)</f>
        <v/>
      </c>
      <c r="H97" s="33">
        <f>SUM(H81:H96)</f>
        <v/>
      </c>
      <c r="I97" s="33">
        <f>SUM(I81:I96)</f>
        <v/>
      </c>
      <c r="J97" s="33">
        <f>SUM(J81:J96)</f>
        <v/>
      </c>
    </row>
    <row r="98">
      <c r="A98" s="34" t="inlineStr">
        <is>
          <t>Team 6</t>
        </is>
      </c>
    </row>
    <row r="99">
      <c r="A99" s="23" t="inlineStr">
        <is>
          <t>Pick</t>
        </is>
      </c>
      <c r="B99" s="23" t="inlineStr">
        <is>
          <t>Player</t>
        </is>
      </c>
      <c r="C99" s="23" t="inlineStr">
        <is>
          <t>Team</t>
        </is>
      </c>
      <c r="D99" s="23" t="inlineStr">
        <is>
          <t>Pos</t>
        </is>
      </c>
      <c r="E99" s="23" t="inlineStr">
        <is>
          <t>G</t>
        </is>
      </c>
      <c r="F99" s="23" t="inlineStr">
        <is>
          <t>A</t>
        </is>
      </c>
      <c r="G99" s="23" t="inlineStr">
        <is>
          <t>PPP</t>
        </is>
      </c>
      <c r="H99" s="23" t="inlineStr">
        <is>
          <t>SOG</t>
        </is>
      </c>
      <c r="I99" s="23" t="inlineStr">
        <is>
          <t>HIT</t>
        </is>
      </c>
      <c r="J99" s="23" t="inlineStr">
        <is>
          <t>BLK</t>
        </is>
      </c>
    </row>
    <row r="100">
      <c r="A100" t="n">
        <v>1</v>
      </c>
      <c r="B100">
        <f>IFERROR(INDEX(Board!$G$2:$G$17,1),"")</f>
        <v/>
      </c>
      <c r="C100">
        <f>IF($B100="","",IFERROR(INDEX(Players!$C$2:$C$301,MATCH($B100,Players!$B$2:$B$301,0)),""))</f>
        <v/>
      </c>
      <c r="D100">
        <f>IF($B100="","",IFERROR(INDEX(Players!$D$2:$D$301,MATCH($B100,Players!$B$2:$B$301,0)),""))</f>
        <v/>
      </c>
      <c r="E100">
        <f>IF($B100="","",IFERROR(INDEX(Players!$M$2:$M$301,MATCH($B100,Players!$B$2:$B$301,0)),""))</f>
        <v/>
      </c>
      <c r="F100">
        <f>IF($B100="","",IFERROR(INDEX(Players!$N$2:$N$301,MATCH($B100,Players!$B$2:$B$301,0)),""))</f>
        <v/>
      </c>
      <c r="G100">
        <f>IF($B100="","",IFERROR(INDEX(Players!$O$2:$O$301,MATCH($B100,Players!$B$2:$B$301,0)),""))</f>
        <v/>
      </c>
      <c r="H100">
        <f>IF($B100="","",IFERROR(INDEX(Players!$P$2:$P$301,MATCH($B100,Players!$B$2:$B$301,0)),""))</f>
        <v/>
      </c>
      <c r="I100">
        <f>IF($B100="","",IFERROR(INDEX(Players!$Q$2:$Q$301,MATCH($B100,Players!$B$2:$B$301,0)),""))</f>
        <v/>
      </c>
      <c r="J100">
        <f>IF($B100="","",IFERROR(INDEX(Players!$R$2:$R$301,MATCH($B100,Players!$B$2:$B$301,0)),""))</f>
        <v/>
      </c>
    </row>
    <row r="101">
      <c r="A101" t="n">
        <v>2</v>
      </c>
      <c r="B101">
        <f>IFERROR(INDEX(Board!$G$2:$G$17,2),"")</f>
        <v/>
      </c>
      <c r="C101">
        <f>IF($B101="","",IFERROR(INDEX(Players!$C$2:$C$301,MATCH($B101,Players!$B$2:$B$301,0)),""))</f>
        <v/>
      </c>
      <c r="D101">
        <f>IF($B101="","",IFERROR(INDEX(Players!$D$2:$D$301,MATCH($B101,Players!$B$2:$B$301,0)),""))</f>
        <v/>
      </c>
      <c r="E101">
        <f>IF($B101="","",IFERROR(INDEX(Players!$M$2:$M$301,MATCH($B101,Players!$B$2:$B$301,0)),""))</f>
        <v/>
      </c>
      <c r="F101">
        <f>IF($B101="","",IFERROR(INDEX(Players!$N$2:$N$301,MATCH($B101,Players!$B$2:$B$301,0)),""))</f>
        <v/>
      </c>
      <c r="G101">
        <f>IF($B101="","",IFERROR(INDEX(Players!$O$2:$O$301,MATCH($B101,Players!$B$2:$B$301,0)),""))</f>
        <v/>
      </c>
      <c r="H101">
        <f>IF($B101="","",IFERROR(INDEX(Players!$P$2:$P$301,MATCH($B101,Players!$B$2:$B$301,0)),""))</f>
        <v/>
      </c>
      <c r="I101">
        <f>IF($B101="","",IFERROR(INDEX(Players!$Q$2:$Q$301,MATCH($B101,Players!$B$2:$B$301,0)),""))</f>
        <v/>
      </c>
      <c r="J101">
        <f>IF($B101="","",IFERROR(INDEX(Players!$R$2:$R$301,MATCH($B101,Players!$B$2:$B$301,0)),""))</f>
        <v/>
      </c>
    </row>
    <row r="102">
      <c r="A102" t="n">
        <v>3</v>
      </c>
      <c r="B102">
        <f>IFERROR(INDEX(Board!$G$2:$G$17,3),"")</f>
        <v/>
      </c>
      <c r="C102">
        <f>IF($B102="","",IFERROR(INDEX(Players!$C$2:$C$301,MATCH($B102,Players!$B$2:$B$301,0)),""))</f>
        <v/>
      </c>
      <c r="D102">
        <f>IF($B102="","",IFERROR(INDEX(Players!$D$2:$D$301,MATCH($B102,Players!$B$2:$B$301,0)),""))</f>
        <v/>
      </c>
      <c r="E102">
        <f>IF($B102="","",IFERROR(INDEX(Players!$M$2:$M$301,MATCH($B102,Players!$B$2:$B$301,0)),""))</f>
        <v/>
      </c>
      <c r="F102">
        <f>IF($B102="","",IFERROR(INDEX(Players!$N$2:$N$301,MATCH($B102,Players!$B$2:$B$301,0)),""))</f>
        <v/>
      </c>
      <c r="G102">
        <f>IF($B102="","",IFERROR(INDEX(Players!$O$2:$O$301,MATCH($B102,Players!$B$2:$B$301,0)),""))</f>
        <v/>
      </c>
      <c r="H102">
        <f>IF($B102="","",IFERROR(INDEX(Players!$P$2:$P$301,MATCH($B102,Players!$B$2:$B$301,0)),""))</f>
        <v/>
      </c>
      <c r="I102">
        <f>IF($B102="","",IFERROR(INDEX(Players!$Q$2:$Q$301,MATCH($B102,Players!$B$2:$B$301,0)),""))</f>
        <v/>
      </c>
      <c r="J102">
        <f>IF($B102="","",IFERROR(INDEX(Players!$R$2:$R$301,MATCH($B102,Players!$B$2:$B$301,0)),""))</f>
        <v/>
      </c>
    </row>
    <row r="103">
      <c r="A103" t="n">
        <v>4</v>
      </c>
      <c r="B103">
        <f>IFERROR(INDEX(Board!$G$2:$G$17,4),"")</f>
        <v/>
      </c>
      <c r="C103">
        <f>IF($B103="","",IFERROR(INDEX(Players!$C$2:$C$301,MATCH($B103,Players!$B$2:$B$301,0)),""))</f>
        <v/>
      </c>
      <c r="D103">
        <f>IF($B103="","",IFERROR(INDEX(Players!$D$2:$D$301,MATCH($B103,Players!$B$2:$B$301,0)),""))</f>
        <v/>
      </c>
      <c r="E103">
        <f>IF($B103="","",IFERROR(INDEX(Players!$M$2:$M$301,MATCH($B103,Players!$B$2:$B$301,0)),""))</f>
        <v/>
      </c>
      <c r="F103">
        <f>IF($B103="","",IFERROR(INDEX(Players!$N$2:$N$301,MATCH($B103,Players!$B$2:$B$301,0)),""))</f>
        <v/>
      </c>
      <c r="G103">
        <f>IF($B103="","",IFERROR(INDEX(Players!$O$2:$O$301,MATCH($B103,Players!$B$2:$B$301,0)),""))</f>
        <v/>
      </c>
      <c r="H103">
        <f>IF($B103="","",IFERROR(INDEX(Players!$P$2:$P$301,MATCH($B103,Players!$B$2:$B$301,0)),""))</f>
        <v/>
      </c>
      <c r="I103">
        <f>IF($B103="","",IFERROR(INDEX(Players!$Q$2:$Q$301,MATCH($B103,Players!$B$2:$B$301,0)),""))</f>
        <v/>
      </c>
      <c r="J103">
        <f>IF($B103="","",IFERROR(INDEX(Players!$R$2:$R$301,MATCH($B103,Players!$B$2:$B$301,0)),""))</f>
        <v/>
      </c>
    </row>
    <row r="104">
      <c r="A104" t="n">
        <v>5</v>
      </c>
      <c r="B104">
        <f>IFERROR(INDEX(Board!$G$2:$G$17,5),"")</f>
        <v/>
      </c>
      <c r="C104">
        <f>IF($B104="","",IFERROR(INDEX(Players!$C$2:$C$301,MATCH($B104,Players!$B$2:$B$301,0)),""))</f>
        <v/>
      </c>
      <c r="D104">
        <f>IF($B104="","",IFERROR(INDEX(Players!$D$2:$D$301,MATCH($B104,Players!$B$2:$B$301,0)),""))</f>
        <v/>
      </c>
      <c r="E104">
        <f>IF($B104="","",IFERROR(INDEX(Players!$M$2:$M$301,MATCH($B104,Players!$B$2:$B$301,0)),""))</f>
        <v/>
      </c>
      <c r="F104">
        <f>IF($B104="","",IFERROR(INDEX(Players!$N$2:$N$301,MATCH($B104,Players!$B$2:$B$301,0)),""))</f>
        <v/>
      </c>
      <c r="G104">
        <f>IF($B104="","",IFERROR(INDEX(Players!$O$2:$O$301,MATCH($B104,Players!$B$2:$B$301,0)),""))</f>
        <v/>
      </c>
      <c r="H104">
        <f>IF($B104="","",IFERROR(INDEX(Players!$P$2:$P$301,MATCH($B104,Players!$B$2:$B$301,0)),""))</f>
        <v/>
      </c>
      <c r="I104">
        <f>IF($B104="","",IFERROR(INDEX(Players!$Q$2:$Q$301,MATCH($B104,Players!$B$2:$B$301,0)),""))</f>
        <v/>
      </c>
      <c r="J104">
        <f>IF($B104="","",IFERROR(INDEX(Players!$R$2:$R$301,MATCH($B104,Players!$B$2:$B$301,0)),""))</f>
        <v/>
      </c>
    </row>
    <row r="105">
      <c r="A105" t="n">
        <v>6</v>
      </c>
      <c r="B105">
        <f>IFERROR(INDEX(Board!$G$2:$G$17,6),"")</f>
        <v/>
      </c>
      <c r="C105">
        <f>IF($B105="","",IFERROR(INDEX(Players!$C$2:$C$301,MATCH($B105,Players!$B$2:$B$301,0)),""))</f>
        <v/>
      </c>
      <c r="D105">
        <f>IF($B105="","",IFERROR(INDEX(Players!$D$2:$D$301,MATCH($B105,Players!$B$2:$B$301,0)),""))</f>
        <v/>
      </c>
      <c r="E105">
        <f>IF($B105="","",IFERROR(INDEX(Players!$M$2:$M$301,MATCH($B105,Players!$B$2:$B$301,0)),""))</f>
        <v/>
      </c>
      <c r="F105">
        <f>IF($B105="","",IFERROR(INDEX(Players!$N$2:$N$301,MATCH($B105,Players!$B$2:$B$301,0)),""))</f>
        <v/>
      </c>
      <c r="G105">
        <f>IF($B105="","",IFERROR(INDEX(Players!$O$2:$O$301,MATCH($B105,Players!$B$2:$B$301,0)),""))</f>
        <v/>
      </c>
      <c r="H105">
        <f>IF($B105="","",IFERROR(INDEX(Players!$P$2:$P$301,MATCH($B105,Players!$B$2:$B$301,0)),""))</f>
        <v/>
      </c>
      <c r="I105">
        <f>IF($B105="","",IFERROR(INDEX(Players!$Q$2:$Q$301,MATCH($B105,Players!$B$2:$B$301,0)),""))</f>
        <v/>
      </c>
      <c r="J105">
        <f>IF($B105="","",IFERROR(INDEX(Players!$R$2:$R$301,MATCH($B105,Players!$B$2:$B$301,0)),""))</f>
        <v/>
      </c>
    </row>
    <row r="106">
      <c r="A106" t="n">
        <v>7</v>
      </c>
      <c r="B106">
        <f>IFERROR(INDEX(Board!$G$2:$G$17,7),"")</f>
        <v/>
      </c>
      <c r="C106">
        <f>IF($B106="","",IFERROR(INDEX(Players!$C$2:$C$301,MATCH($B106,Players!$B$2:$B$301,0)),""))</f>
        <v/>
      </c>
      <c r="D106">
        <f>IF($B106="","",IFERROR(INDEX(Players!$D$2:$D$301,MATCH($B106,Players!$B$2:$B$301,0)),""))</f>
        <v/>
      </c>
      <c r="E106">
        <f>IF($B106="","",IFERROR(INDEX(Players!$M$2:$M$301,MATCH($B106,Players!$B$2:$B$301,0)),""))</f>
        <v/>
      </c>
      <c r="F106">
        <f>IF($B106="","",IFERROR(INDEX(Players!$N$2:$N$301,MATCH($B106,Players!$B$2:$B$301,0)),""))</f>
        <v/>
      </c>
      <c r="G106">
        <f>IF($B106="","",IFERROR(INDEX(Players!$O$2:$O$301,MATCH($B106,Players!$B$2:$B$301,0)),""))</f>
        <v/>
      </c>
      <c r="H106">
        <f>IF($B106="","",IFERROR(INDEX(Players!$P$2:$P$301,MATCH($B106,Players!$B$2:$B$301,0)),""))</f>
        <v/>
      </c>
      <c r="I106">
        <f>IF($B106="","",IFERROR(INDEX(Players!$Q$2:$Q$301,MATCH($B106,Players!$B$2:$B$301,0)),""))</f>
        <v/>
      </c>
      <c r="J106">
        <f>IF($B106="","",IFERROR(INDEX(Players!$R$2:$R$301,MATCH($B106,Players!$B$2:$B$301,0)),""))</f>
        <v/>
      </c>
    </row>
    <row r="107">
      <c r="A107" t="n">
        <v>8</v>
      </c>
      <c r="B107">
        <f>IFERROR(INDEX(Board!$G$2:$G$17,8),"")</f>
        <v/>
      </c>
      <c r="C107">
        <f>IF($B107="","",IFERROR(INDEX(Players!$C$2:$C$301,MATCH($B107,Players!$B$2:$B$301,0)),""))</f>
        <v/>
      </c>
      <c r="D107">
        <f>IF($B107="","",IFERROR(INDEX(Players!$D$2:$D$301,MATCH($B107,Players!$B$2:$B$301,0)),""))</f>
        <v/>
      </c>
      <c r="E107">
        <f>IF($B107="","",IFERROR(INDEX(Players!$M$2:$M$301,MATCH($B107,Players!$B$2:$B$301,0)),""))</f>
        <v/>
      </c>
      <c r="F107">
        <f>IF($B107="","",IFERROR(INDEX(Players!$N$2:$N$301,MATCH($B107,Players!$B$2:$B$301,0)),""))</f>
        <v/>
      </c>
      <c r="G107">
        <f>IF($B107="","",IFERROR(INDEX(Players!$O$2:$O$301,MATCH($B107,Players!$B$2:$B$301,0)),""))</f>
        <v/>
      </c>
      <c r="H107">
        <f>IF($B107="","",IFERROR(INDEX(Players!$P$2:$P$301,MATCH($B107,Players!$B$2:$B$301,0)),""))</f>
        <v/>
      </c>
      <c r="I107">
        <f>IF($B107="","",IFERROR(INDEX(Players!$Q$2:$Q$301,MATCH($B107,Players!$B$2:$B$301,0)),""))</f>
        <v/>
      </c>
      <c r="J107">
        <f>IF($B107="","",IFERROR(INDEX(Players!$R$2:$R$301,MATCH($B107,Players!$B$2:$B$301,0)),""))</f>
        <v/>
      </c>
    </row>
    <row r="108">
      <c r="A108" t="n">
        <v>9</v>
      </c>
      <c r="B108">
        <f>IFERROR(INDEX(Board!$G$2:$G$17,9),"")</f>
        <v/>
      </c>
      <c r="C108">
        <f>IF($B108="","",IFERROR(INDEX(Players!$C$2:$C$301,MATCH($B108,Players!$B$2:$B$301,0)),""))</f>
        <v/>
      </c>
      <c r="D108">
        <f>IF($B108="","",IFERROR(INDEX(Players!$D$2:$D$301,MATCH($B108,Players!$B$2:$B$301,0)),""))</f>
        <v/>
      </c>
      <c r="E108">
        <f>IF($B108="","",IFERROR(INDEX(Players!$M$2:$M$301,MATCH($B108,Players!$B$2:$B$301,0)),""))</f>
        <v/>
      </c>
      <c r="F108">
        <f>IF($B108="","",IFERROR(INDEX(Players!$N$2:$N$301,MATCH($B108,Players!$B$2:$B$301,0)),""))</f>
        <v/>
      </c>
      <c r="G108">
        <f>IF($B108="","",IFERROR(INDEX(Players!$O$2:$O$301,MATCH($B108,Players!$B$2:$B$301,0)),""))</f>
        <v/>
      </c>
      <c r="H108">
        <f>IF($B108="","",IFERROR(INDEX(Players!$P$2:$P$301,MATCH($B108,Players!$B$2:$B$301,0)),""))</f>
        <v/>
      </c>
      <c r="I108">
        <f>IF($B108="","",IFERROR(INDEX(Players!$Q$2:$Q$301,MATCH($B108,Players!$B$2:$B$301,0)),""))</f>
        <v/>
      </c>
      <c r="J108">
        <f>IF($B108="","",IFERROR(INDEX(Players!$R$2:$R$301,MATCH($B108,Players!$B$2:$B$301,0)),""))</f>
        <v/>
      </c>
    </row>
    <row r="109">
      <c r="A109" t="n">
        <v>10</v>
      </c>
      <c r="B109">
        <f>IFERROR(INDEX(Board!$G$2:$G$17,10),"")</f>
        <v/>
      </c>
      <c r="C109">
        <f>IF($B109="","",IFERROR(INDEX(Players!$C$2:$C$301,MATCH($B109,Players!$B$2:$B$301,0)),""))</f>
        <v/>
      </c>
      <c r="D109">
        <f>IF($B109="","",IFERROR(INDEX(Players!$D$2:$D$301,MATCH($B109,Players!$B$2:$B$301,0)),""))</f>
        <v/>
      </c>
      <c r="E109">
        <f>IF($B109="","",IFERROR(INDEX(Players!$M$2:$M$301,MATCH($B109,Players!$B$2:$B$301,0)),""))</f>
        <v/>
      </c>
      <c r="F109">
        <f>IF($B109="","",IFERROR(INDEX(Players!$N$2:$N$301,MATCH($B109,Players!$B$2:$B$301,0)),""))</f>
        <v/>
      </c>
      <c r="G109">
        <f>IF($B109="","",IFERROR(INDEX(Players!$O$2:$O$301,MATCH($B109,Players!$B$2:$B$301,0)),""))</f>
        <v/>
      </c>
      <c r="H109">
        <f>IF($B109="","",IFERROR(INDEX(Players!$P$2:$P$301,MATCH($B109,Players!$B$2:$B$301,0)),""))</f>
        <v/>
      </c>
      <c r="I109">
        <f>IF($B109="","",IFERROR(INDEX(Players!$Q$2:$Q$301,MATCH($B109,Players!$B$2:$B$301,0)),""))</f>
        <v/>
      </c>
      <c r="J109">
        <f>IF($B109="","",IFERROR(INDEX(Players!$R$2:$R$301,MATCH($B109,Players!$B$2:$B$301,0)),""))</f>
        <v/>
      </c>
    </row>
    <row r="110">
      <c r="A110" t="n">
        <v>11</v>
      </c>
      <c r="B110">
        <f>IFERROR(INDEX(Board!$G$2:$G$17,11),"")</f>
        <v/>
      </c>
      <c r="C110">
        <f>IF($B110="","",IFERROR(INDEX(Players!$C$2:$C$301,MATCH($B110,Players!$B$2:$B$301,0)),""))</f>
        <v/>
      </c>
      <c r="D110">
        <f>IF($B110="","",IFERROR(INDEX(Players!$D$2:$D$301,MATCH($B110,Players!$B$2:$B$301,0)),""))</f>
        <v/>
      </c>
      <c r="E110">
        <f>IF($B110="","",IFERROR(INDEX(Players!$M$2:$M$301,MATCH($B110,Players!$B$2:$B$301,0)),""))</f>
        <v/>
      </c>
      <c r="F110">
        <f>IF($B110="","",IFERROR(INDEX(Players!$N$2:$N$301,MATCH($B110,Players!$B$2:$B$301,0)),""))</f>
        <v/>
      </c>
      <c r="G110">
        <f>IF($B110="","",IFERROR(INDEX(Players!$O$2:$O$301,MATCH($B110,Players!$B$2:$B$301,0)),""))</f>
        <v/>
      </c>
      <c r="H110">
        <f>IF($B110="","",IFERROR(INDEX(Players!$P$2:$P$301,MATCH($B110,Players!$B$2:$B$301,0)),""))</f>
        <v/>
      </c>
      <c r="I110">
        <f>IF($B110="","",IFERROR(INDEX(Players!$Q$2:$Q$301,MATCH($B110,Players!$B$2:$B$301,0)),""))</f>
        <v/>
      </c>
      <c r="J110">
        <f>IF($B110="","",IFERROR(INDEX(Players!$R$2:$R$301,MATCH($B110,Players!$B$2:$B$301,0)),""))</f>
        <v/>
      </c>
    </row>
    <row r="111">
      <c r="A111" t="n">
        <v>12</v>
      </c>
      <c r="B111">
        <f>IFERROR(INDEX(Board!$G$2:$G$17,12),"")</f>
        <v/>
      </c>
      <c r="C111">
        <f>IF($B111="","",IFERROR(INDEX(Players!$C$2:$C$301,MATCH($B111,Players!$B$2:$B$301,0)),""))</f>
        <v/>
      </c>
      <c r="D111">
        <f>IF($B111="","",IFERROR(INDEX(Players!$D$2:$D$301,MATCH($B111,Players!$B$2:$B$301,0)),""))</f>
        <v/>
      </c>
      <c r="E111">
        <f>IF($B111="","",IFERROR(INDEX(Players!$M$2:$M$301,MATCH($B111,Players!$B$2:$B$301,0)),""))</f>
        <v/>
      </c>
      <c r="F111">
        <f>IF($B111="","",IFERROR(INDEX(Players!$N$2:$N$301,MATCH($B111,Players!$B$2:$B$301,0)),""))</f>
        <v/>
      </c>
      <c r="G111">
        <f>IF($B111="","",IFERROR(INDEX(Players!$O$2:$O$301,MATCH($B111,Players!$B$2:$B$301,0)),""))</f>
        <v/>
      </c>
      <c r="H111">
        <f>IF($B111="","",IFERROR(INDEX(Players!$P$2:$P$301,MATCH($B111,Players!$B$2:$B$301,0)),""))</f>
        <v/>
      </c>
      <c r="I111">
        <f>IF($B111="","",IFERROR(INDEX(Players!$Q$2:$Q$301,MATCH($B111,Players!$B$2:$B$301,0)),""))</f>
        <v/>
      </c>
      <c r="J111">
        <f>IF($B111="","",IFERROR(INDEX(Players!$R$2:$R$301,MATCH($B111,Players!$B$2:$B$301,0)),""))</f>
        <v/>
      </c>
    </row>
    <row r="112">
      <c r="A112" t="n">
        <v>13</v>
      </c>
      <c r="B112">
        <f>IFERROR(INDEX(Board!$G$2:$G$17,13),"")</f>
        <v/>
      </c>
      <c r="C112">
        <f>IF($B112="","",IFERROR(INDEX(Players!$C$2:$C$301,MATCH($B112,Players!$B$2:$B$301,0)),""))</f>
        <v/>
      </c>
      <c r="D112">
        <f>IF($B112="","",IFERROR(INDEX(Players!$D$2:$D$301,MATCH($B112,Players!$B$2:$B$301,0)),""))</f>
        <v/>
      </c>
      <c r="E112">
        <f>IF($B112="","",IFERROR(INDEX(Players!$M$2:$M$301,MATCH($B112,Players!$B$2:$B$301,0)),""))</f>
        <v/>
      </c>
      <c r="F112">
        <f>IF($B112="","",IFERROR(INDEX(Players!$N$2:$N$301,MATCH($B112,Players!$B$2:$B$301,0)),""))</f>
        <v/>
      </c>
      <c r="G112">
        <f>IF($B112="","",IFERROR(INDEX(Players!$O$2:$O$301,MATCH($B112,Players!$B$2:$B$301,0)),""))</f>
        <v/>
      </c>
      <c r="H112">
        <f>IF($B112="","",IFERROR(INDEX(Players!$P$2:$P$301,MATCH($B112,Players!$B$2:$B$301,0)),""))</f>
        <v/>
      </c>
      <c r="I112">
        <f>IF($B112="","",IFERROR(INDEX(Players!$Q$2:$Q$301,MATCH($B112,Players!$B$2:$B$301,0)),""))</f>
        <v/>
      </c>
      <c r="J112">
        <f>IF($B112="","",IFERROR(INDEX(Players!$R$2:$R$301,MATCH($B112,Players!$B$2:$B$301,0)),""))</f>
        <v/>
      </c>
    </row>
    <row r="113">
      <c r="A113" t="n">
        <v>14</v>
      </c>
      <c r="B113">
        <f>IFERROR(INDEX(Board!$G$2:$G$17,14),"")</f>
        <v/>
      </c>
      <c r="C113">
        <f>IF($B113="","",IFERROR(INDEX(Players!$C$2:$C$301,MATCH($B113,Players!$B$2:$B$301,0)),""))</f>
        <v/>
      </c>
      <c r="D113">
        <f>IF($B113="","",IFERROR(INDEX(Players!$D$2:$D$301,MATCH($B113,Players!$B$2:$B$301,0)),""))</f>
        <v/>
      </c>
      <c r="E113">
        <f>IF($B113="","",IFERROR(INDEX(Players!$M$2:$M$301,MATCH($B113,Players!$B$2:$B$301,0)),""))</f>
        <v/>
      </c>
      <c r="F113">
        <f>IF($B113="","",IFERROR(INDEX(Players!$N$2:$N$301,MATCH($B113,Players!$B$2:$B$301,0)),""))</f>
        <v/>
      </c>
      <c r="G113">
        <f>IF($B113="","",IFERROR(INDEX(Players!$O$2:$O$301,MATCH($B113,Players!$B$2:$B$301,0)),""))</f>
        <v/>
      </c>
      <c r="H113">
        <f>IF($B113="","",IFERROR(INDEX(Players!$P$2:$P$301,MATCH($B113,Players!$B$2:$B$301,0)),""))</f>
        <v/>
      </c>
      <c r="I113">
        <f>IF($B113="","",IFERROR(INDEX(Players!$Q$2:$Q$301,MATCH($B113,Players!$B$2:$B$301,0)),""))</f>
        <v/>
      </c>
      <c r="J113">
        <f>IF($B113="","",IFERROR(INDEX(Players!$R$2:$R$301,MATCH($B113,Players!$B$2:$B$301,0)),""))</f>
        <v/>
      </c>
    </row>
    <row r="114">
      <c r="A114" t="n">
        <v>15</v>
      </c>
      <c r="B114">
        <f>IFERROR(INDEX(Board!$G$2:$G$17,15),"")</f>
        <v/>
      </c>
      <c r="C114">
        <f>IF($B114="","",IFERROR(INDEX(Players!$C$2:$C$301,MATCH($B114,Players!$B$2:$B$301,0)),""))</f>
        <v/>
      </c>
      <c r="D114">
        <f>IF($B114="","",IFERROR(INDEX(Players!$D$2:$D$301,MATCH($B114,Players!$B$2:$B$301,0)),""))</f>
        <v/>
      </c>
      <c r="E114">
        <f>IF($B114="","",IFERROR(INDEX(Players!$M$2:$M$301,MATCH($B114,Players!$B$2:$B$301,0)),""))</f>
        <v/>
      </c>
      <c r="F114">
        <f>IF($B114="","",IFERROR(INDEX(Players!$N$2:$N$301,MATCH($B114,Players!$B$2:$B$301,0)),""))</f>
        <v/>
      </c>
      <c r="G114">
        <f>IF($B114="","",IFERROR(INDEX(Players!$O$2:$O$301,MATCH($B114,Players!$B$2:$B$301,0)),""))</f>
        <v/>
      </c>
      <c r="H114">
        <f>IF($B114="","",IFERROR(INDEX(Players!$P$2:$P$301,MATCH($B114,Players!$B$2:$B$301,0)),""))</f>
        <v/>
      </c>
      <c r="I114">
        <f>IF($B114="","",IFERROR(INDEX(Players!$Q$2:$Q$301,MATCH($B114,Players!$B$2:$B$301,0)),""))</f>
        <v/>
      </c>
      <c r="J114">
        <f>IF($B114="","",IFERROR(INDEX(Players!$R$2:$R$301,MATCH($B114,Players!$B$2:$B$301,0)),""))</f>
        <v/>
      </c>
    </row>
    <row r="115">
      <c r="A115" t="n">
        <v>16</v>
      </c>
      <c r="B115">
        <f>IFERROR(INDEX(Board!$G$2:$G$17,16),"")</f>
        <v/>
      </c>
      <c r="C115">
        <f>IF($B115="","",IFERROR(INDEX(Players!$C$2:$C$301,MATCH($B115,Players!$B$2:$B$301,0)),""))</f>
        <v/>
      </c>
      <c r="D115">
        <f>IF($B115="","",IFERROR(INDEX(Players!$D$2:$D$301,MATCH($B115,Players!$B$2:$B$301,0)),""))</f>
        <v/>
      </c>
      <c r="E115">
        <f>IF($B115="","",IFERROR(INDEX(Players!$M$2:$M$301,MATCH($B115,Players!$B$2:$B$301,0)),""))</f>
        <v/>
      </c>
      <c r="F115">
        <f>IF($B115="","",IFERROR(INDEX(Players!$N$2:$N$301,MATCH($B115,Players!$B$2:$B$301,0)),""))</f>
        <v/>
      </c>
      <c r="G115">
        <f>IF($B115="","",IFERROR(INDEX(Players!$O$2:$O$301,MATCH($B115,Players!$B$2:$B$301,0)),""))</f>
        <v/>
      </c>
      <c r="H115">
        <f>IF($B115="","",IFERROR(INDEX(Players!$P$2:$P$301,MATCH($B115,Players!$B$2:$B$301,0)),""))</f>
        <v/>
      </c>
      <c r="I115">
        <f>IF($B115="","",IFERROR(INDEX(Players!$Q$2:$Q$301,MATCH($B115,Players!$B$2:$B$301,0)),""))</f>
        <v/>
      </c>
      <c r="J115">
        <f>IF($B115="","",IFERROR(INDEX(Players!$R$2:$R$301,MATCH($B115,Players!$B$2:$B$301,0)),""))</f>
        <v/>
      </c>
    </row>
    <row r="116">
      <c r="B116" s="29" t="inlineStr">
        <is>
          <t>TOTAL</t>
        </is>
      </c>
      <c r="E116" s="33">
        <f>SUM(E100:E115)</f>
        <v/>
      </c>
      <c r="F116" s="33">
        <f>SUM(F100:F115)</f>
        <v/>
      </c>
      <c r="G116" s="33">
        <f>SUM(G100:G115)</f>
        <v/>
      </c>
      <c r="H116" s="33">
        <f>SUM(H100:H115)</f>
        <v/>
      </c>
      <c r="I116" s="33">
        <f>SUM(I100:I115)</f>
        <v/>
      </c>
      <c r="J116" s="33">
        <f>SUM(J100:J115)</f>
        <v/>
      </c>
    </row>
    <row r="117">
      <c r="A117" s="34" t="inlineStr">
        <is>
          <t>Team 7</t>
        </is>
      </c>
    </row>
    <row r="118">
      <c r="A118" s="23" t="inlineStr">
        <is>
          <t>Pick</t>
        </is>
      </c>
      <c r="B118" s="23" t="inlineStr">
        <is>
          <t>Player</t>
        </is>
      </c>
      <c r="C118" s="23" t="inlineStr">
        <is>
          <t>Team</t>
        </is>
      </c>
      <c r="D118" s="23" t="inlineStr">
        <is>
          <t>Pos</t>
        </is>
      </c>
      <c r="E118" s="23" t="inlineStr">
        <is>
          <t>G</t>
        </is>
      </c>
      <c r="F118" s="23" t="inlineStr">
        <is>
          <t>A</t>
        </is>
      </c>
      <c r="G118" s="23" t="inlineStr">
        <is>
          <t>PPP</t>
        </is>
      </c>
      <c r="H118" s="23" t="inlineStr">
        <is>
          <t>SOG</t>
        </is>
      </c>
      <c r="I118" s="23" t="inlineStr">
        <is>
          <t>HIT</t>
        </is>
      </c>
      <c r="J118" s="23" t="inlineStr">
        <is>
          <t>BLK</t>
        </is>
      </c>
    </row>
    <row r="119">
      <c r="A119" t="n">
        <v>1</v>
      </c>
      <c r="B119">
        <f>IFERROR(INDEX(Board!$H$2:$H$17,1),"")</f>
        <v/>
      </c>
      <c r="C119">
        <f>IF($B119="","",IFERROR(INDEX(Players!$C$2:$C$301,MATCH($B119,Players!$B$2:$B$301,0)),""))</f>
        <v/>
      </c>
      <c r="D119">
        <f>IF($B119="","",IFERROR(INDEX(Players!$D$2:$D$301,MATCH($B119,Players!$B$2:$B$301,0)),""))</f>
        <v/>
      </c>
      <c r="E119">
        <f>IF($B119="","",IFERROR(INDEX(Players!$M$2:$M$301,MATCH($B119,Players!$B$2:$B$301,0)),""))</f>
        <v/>
      </c>
      <c r="F119">
        <f>IF($B119="","",IFERROR(INDEX(Players!$N$2:$N$301,MATCH($B119,Players!$B$2:$B$301,0)),""))</f>
        <v/>
      </c>
      <c r="G119">
        <f>IF($B119="","",IFERROR(INDEX(Players!$O$2:$O$301,MATCH($B119,Players!$B$2:$B$301,0)),""))</f>
        <v/>
      </c>
      <c r="H119">
        <f>IF($B119="","",IFERROR(INDEX(Players!$P$2:$P$301,MATCH($B119,Players!$B$2:$B$301,0)),""))</f>
        <v/>
      </c>
      <c r="I119">
        <f>IF($B119="","",IFERROR(INDEX(Players!$Q$2:$Q$301,MATCH($B119,Players!$B$2:$B$301,0)),""))</f>
        <v/>
      </c>
      <c r="J119">
        <f>IF($B119="","",IFERROR(INDEX(Players!$R$2:$R$301,MATCH($B119,Players!$B$2:$B$301,0)),""))</f>
        <v/>
      </c>
    </row>
    <row r="120">
      <c r="A120" t="n">
        <v>2</v>
      </c>
      <c r="B120">
        <f>IFERROR(INDEX(Board!$H$2:$H$17,2),"")</f>
        <v/>
      </c>
      <c r="C120">
        <f>IF($B120="","",IFERROR(INDEX(Players!$C$2:$C$301,MATCH($B120,Players!$B$2:$B$301,0)),""))</f>
        <v/>
      </c>
      <c r="D120">
        <f>IF($B120="","",IFERROR(INDEX(Players!$D$2:$D$301,MATCH($B120,Players!$B$2:$B$301,0)),""))</f>
        <v/>
      </c>
      <c r="E120">
        <f>IF($B120="","",IFERROR(INDEX(Players!$M$2:$M$301,MATCH($B120,Players!$B$2:$B$301,0)),""))</f>
        <v/>
      </c>
      <c r="F120">
        <f>IF($B120="","",IFERROR(INDEX(Players!$N$2:$N$301,MATCH($B120,Players!$B$2:$B$301,0)),""))</f>
        <v/>
      </c>
      <c r="G120">
        <f>IF($B120="","",IFERROR(INDEX(Players!$O$2:$O$301,MATCH($B120,Players!$B$2:$B$301,0)),""))</f>
        <v/>
      </c>
      <c r="H120">
        <f>IF($B120="","",IFERROR(INDEX(Players!$P$2:$P$301,MATCH($B120,Players!$B$2:$B$301,0)),""))</f>
        <v/>
      </c>
      <c r="I120">
        <f>IF($B120="","",IFERROR(INDEX(Players!$Q$2:$Q$301,MATCH($B120,Players!$B$2:$B$301,0)),""))</f>
        <v/>
      </c>
      <c r="J120">
        <f>IF($B120="","",IFERROR(INDEX(Players!$R$2:$R$301,MATCH($B120,Players!$B$2:$B$301,0)),""))</f>
        <v/>
      </c>
    </row>
    <row r="121">
      <c r="A121" t="n">
        <v>3</v>
      </c>
      <c r="B121">
        <f>IFERROR(INDEX(Board!$H$2:$H$17,3),"")</f>
        <v/>
      </c>
      <c r="C121">
        <f>IF($B121="","",IFERROR(INDEX(Players!$C$2:$C$301,MATCH($B121,Players!$B$2:$B$301,0)),""))</f>
        <v/>
      </c>
      <c r="D121">
        <f>IF($B121="","",IFERROR(INDEX(Players!$D$2:$D$301,MATCH($B121,Players!$B$2:$B$301,0)),""))</f>
        <v/>
      </c>
      <c r="E121">
        <f>IF($B121="","",IFERROR(INDEX(Players!$M$2:$M$301,MATCH($B121,Players!$B$2:$B$301,0)),""))</f>
        <v/>
      </c>
      <c r="F121">
        <f>IF($B121="","",IFERROR(INDEX(Players!$N$2:$N$301,MATCH($B121,Players!$B$2:$B$301,0)),""))</f>
        <v/>
      </c>
      <c r="G121">
        <f>IF($B121="","",IFERROR(INDEX(Players!$O$2:$O$301,MATCH($B121,Players!$B$2:$B$301,0)),""))</f>
        <v/>
      </c>
      <c r="H121">
        <f>IF($B121="","",IFERROR(INDEX(Players!$P$2:$P$301,MATCH($B121,Players!$B$2:$B$301,0)),""))</f>
        <v/>
      </c>
      <c r="I121">
        <f>IF($B121="","",IFERROR(INDEX(Players!$Q$2:$Q$301,MATCH($B121,Players!$B$2:$B$301,0)),""))</f>
        <v/>
      </c>
      <c r="J121">
        <f>IF($B121="","",IFERROR(INDEX(Players!$R$2:$R$301,MATCH($B121,Players!$B$2:$B$301,0)),""))</f>
        <v/>
      </c>
    </row>
    <row r="122">
      <c r="A122" t="n">
        <v>4</v>
      </c>
      <c r="B122">
        <f>IFERROR(INDEX(Board!$H$2:$H$17,4),"")</f>
        <v/>
      </c>
      <c r="C122">
        <f>IF($B122="","",IFERROR(INDEX(Players!$C$2:$C$301,MATCH($B122,Players!$B$2:$B$301,0)),""))</f>
        <v/>
      </c>
      <c r="D122">
        <f>IF($B122="","",IFERROR(INDEX(Players!$D$2:$D$301,MATCH($B122,Players!$B$2:$B$301,0)),""))</f>
        <v/>
      </c>
      <c r="E122">
        <f>IF($B122="","",IFERROR(INDEX(Players!$M$2:$M$301,MATCH($B122,Players!$B$2:$B$301,0)),""))</f>
        <v/>
      </c>
      <c r="F122">
        <f>IF($B122="","",IFERROR(INDEX(Players!$N$2:$N$301,MATCH($B122,Players!$B$2:$B$301,0)),""))</f>
        <v/>
      </c>
      <c r="G122">
        <f>IF($B122="","",IFERROR(INDEX(Players!$O$2:$O$301,MATCH($B122,Players!$B$2:$B$301,0)),""))</f>
        <v/>
      </c>
      <c r="H122">
        <f>IF($B122="","",IFERROR(INDEX(Players!$P$2:$P$301,MATCH($B122,Players!$B$2:$B$301,0)),""))</f>
        <v/>
      </c>
      <c r="I122">
        <f>IF($B122="","",IFERROR(INDEX(Players!$Q$2:$Q$301,MATCH($B122,Players!$B$2:$B$301,0)),""))</f>
        <v/>
      </c>
      <c r="J122">
        <f>IF($B122="","",IFERROR(INDEX(Players!$R$2:$R$301,MATCH($B122,Players!$B$2:$B$301,0)),""))</f>
        <v/>
      </c>
    </row>
    <row r="123">
      <c r="A123" t="n">
        <v>5</v>
      </c>
      <c r="B123">
        <f>IFERROR(INDEX(Board!$H$2:$H$17,5),"")</f>
        <v/>
      </c>
      <c r="C123">
        <f>IF($B123="","",IFERROR(INDEX(Players!$C$2:$C$301,MATCH($B123,Players!$B$2:$B$301,0)),""))</f>
        <v/>
      </c>
      <c r="D123">
        <f>IF($B123="","",IFERROR(INDEX(Players!$D$2:$D$301,MATCH($B123,Players!$B$2:$B$301,0)),""))</f>
        <v/>
      </c>
      <c r="E123">
        <f>IF($B123="","",IFERROR(INDEX(Players!$M$2:$M$301,MATCH($B123,Players!$B$2:$B$301,0)),""))</f>
        <v/>
      </c>
      <c r="F123">
        <f>IF($B123="","",IFERROR(INDEX(Players!$N$2:$N$301,MATCH($B123,Players!$B$2:$B$301,0)),""))</f>
        <v/>
      </c>
      <c r="G123">
        <f>IF($B123="","",IFERROR(INDEX(Players!$O$2:$O$301,MATCH($B123,Players!$B$2:$B$301,0)),""))</f>
        <v/>
      </c>
      <c r="H123">
        <f>IF($B123="","",IFERROR(INDEX(Players!$P$2:$P$301,MATCH($B123,Players!$B$2:$B$301,0)),""))</f>
        <v/>
      </c>
      <c r="I123">
        <f>IF($B123="","",IFERROR(INDEX(Players!$Q$2:$Q$301,MATCH($B123,Players!$B$2:$B$301,0)),""))</f>
        <v/>
      </c>
      <c r="J123">
        <f>IF($B123="","",IFERROR(INDEX(Players!$R$2:$R$301,MATCH($B123,Players!$B$2:$B$301,0)),""))</f>
        <v/>
      </c>
    </row>
    <row r="124">
      <c r="A124" t="n">
        <v>6</v>
      </c>
      <c r="B124">
        <f>IFERROR(INDEX(Board!$H$2:$H$17,6),"")</f>
        <v/>
      </c>
      <c r="C124">
        <f>IF($B124="","",IFERROR(INDEX(Players!$C$2:$C$301,MATCH($B124,Players!$B$2:$B$301,0)),""))</f>
        <v/>
      </c>
      <c r="D124">
        <f>IF($B124="","",IFERROR(INDEX(Players!$D$2:$D$301,MATCH($B124,Players!$B$2:$B$301,0)),""))</f>
        <v/>
      </c>
      <c r="E124">
        <f>IF($B124="","",IFERROR(INDEX(Players!$M$2:$M$301,MATCH($B124,Players!$B$2:$B$301,0)),""))</f>
        <v/>
      </c>
      <c r="F124">
        <f>IF($B124="","",IFERROR(INDEX(Players!$N$2:$N$301,MATCH($B124,Players!$B$2:$B$301,0)),""))</f>
        <v/>
      </c>
      <c r="G124">
        <f>IF($B124="","",IFERROR(INDEX(Players!$O$2:$O$301,MATCH($B124,Players!$B$2:$B$301,0)),""))</f>
        <v/>
      </c>
      <c r="H124">
        <f>IF($B124="","",IFERROR(INDEX(Players!$P$2:$P$301,MATCH($B124,Players!$B$2:$B$301,0)),""))</f>
        <v/>
      </c>
      <c r="I124">
        <f>IF($B124="","",IFERROR(INDEX(Players!$Q$2:$Q$301,MATCH($B124,Players!$B$2:$B$301,0)),""))</f>
        <v/>
      </c>
      <c r="J124">
        <f>IF($B124="","",IFERROR(INDEX(Players!$R$2:$R$301,MATCH($B124,Players!$B$2:$B$301,0)),""))</f>
        <v/>
      </c>
    </row>
    <row r="125">
      <c r="A125" t="n">
        <v>7</v>
      </c>
      <c r="B125">
        <f>IFERROR(INDEX(Board!$H$2:$H$17,7),"")</f>
        <v/>
      </c>
      <c r="C125">
        <f>IF($B125="","",IFERROR(INDEX(Players!$C$2:$C$301,MATCH($B125,Players!$B$2:$B$301,0)),""))</f>
        <v/>
      </c>
      <c r="D125">
        <f>IF($B125="","",IFERROR(INDEX(Players!$D$2:$D$301,MATCH($B125,Players!$B$2:$B$301,0)),""))</f>
        <v/>
      </c>
      <c r="E125">
        <f>IF($B125="","",IFERROR(INDEX(Players!$M$2:$M$301,MATCH($B125,Players!$B$2:$B$301,0)),""))</f>
        <v/>
      </c>
      <c r="F125">
        <f>IF($B125="","",IFERROR(INDEX(Players!$N$2:$N$301,MATCH($B125,Players!$B$2:$B$301,0)),""))</f>
        <v/>
      </c>
      <c r="G125">
        <f>IF($B125="","",IFERROR(INDEX(Players!$O$2:$O$301,MATCH($B125,Players!$B$2:$B$301,0)),""))</f>
        <v/>
      </c>
      <c r="H125">
        <f>IF($B125="","",IFERROR(INDEX(Players!$P$2:$P$301,MATCH($B125,Players!$B$2:$B$301,0)),""))</f>
        <v/>
      </c>
      <c r="I125">
        <f>IF($B125="","",IFERROR(INDEX(Players!$Q$2:$Q$301,MATCH($B125,Players!$B$2:$B$301,0)),""))</f>
        <v/>
      </c>
      <c r="J125">
        <f>IF($B125="","",IFERROR(INDEX(Players!$R$2:$R$301,MATCH($B125,Players!$B$2:$B$301,0)),""))</f>
        <v/>
      </c>
    </row>
    <row r="126">
      <c r="A126" t="n">
        <v>8</v>
      </c>
      <c r="B126">
        <f>IFERROR(INDEX(Board!$H$2:$H$17,8),"")</f>
        <v/>
      </c>
      <c r="C126">
        <f>IF($B126="","",IFERROR(INDEX(Players!$C$2:$C$301,MATCH($B126,Players!$B$2:$B$301,0)),""))</f>
        <v/>
      </c>
      <c r="D126">
        <f>IF($B126="","",IFERROR(INDEX(Players!$D$2:$D$301,MATCH($B126,Players!$B$2:$B$301,0)),""))</f>
        <v/>
      </c>
      <c r="E126">
        <f>IF($B126="","",IFERROR(INDEX(Players!$M$2:$M$301,MATCH($B126,Players!$B$2:$B$301,0)),""))</f>
        <v/>
      </c>
      <c r="F126">
        <f>IF($B126="","",IFERROR(INDEX(Players!$N$2:$N$301,MATCH($B126,Players!$B$2:$B$301,0)),""))</f>
        <v/>
      </c>
      <c r="G126">
        <f>IF($B126="","",IFERROR(INDEX(Players!$O$2:$O$301,MATCH($B126,Players!$B$2:$B$301,0)),""))</f>
        <v/>
      </c>
      <c r="H126">
        <f>IF($B126="","",IFERROR(INDEX(Players!$P$2:$P$301,MATCH($B126,Players!$B$2:$B$301,0)),""))</f>
        <v/>
      </c>
      <c r="I126">
        <f>IF($B126="","",IFERROR(INDEX(Players!$Q$2:$Q$301,MATCH($B126,Players!$B$2:$B$301,0)),""))</f>
        <v/>
      </c>
      <c r="J126">
        <f>IF($B126="","",IFERROR(INDEX(Players!$R$2:$R$301,MATCH($B126,Players!$B$2:$B$301,0)),""))</f>
        <v/>
      </c>
    </row>
    <row r="127">
      <c r="A127" t="n">
        <v>9</v>
      </c>
      <c r="B127">
        <f>IFERROR(INDEX(Board!$H$2:$H$17,9),"")</f>
        <v/>
      </c>
      <c r="C127">
        <f>IF($B127="","",IFERROR(INDEX(Players!$C$2:$C$301,MATCH($B127,Players!$B$2:$B$301,0)),""))</f>
        <v/>
      </c>
      <c r="D127">
        <f>IF($B127="","",IFERROR(INDEX(Players!$D$2:$D$301,MATCH($B127,Players!$B$2:$B$301,0)),""))</f>
        <v/>
      </c>
      <c r="E127">
        <f>IF($B127="","",IFERROR(INDEX(Players!$M$2:$M$301,MATCH($B127,Players!$B$2:$B$301,0)),""))</f>
        <v/>
      </c>
      <c r="F127">
        <f>IF($B127="","",IFERROR(INDEX(Players!$N$2:$N$301,MATCH($B127,Players!$B$2:$B$301,0)),""))</f>
        <v/>
      </c>
      <c r="G127">
        <f>IF($B127="","",IFERROR(INDEX(Players!$O$2:$O$301,MATCH($B127,Players!$B$2:$B$301,0)),""))</f>
        <v/>
      </c>
      <c r="H127">
        <f>IF($B127="","",IFERROR(INDEX(Players!$P$2:$P$301,MATCH($B127,Players!$B$2:$B$301,0)),""))</f>
        <v/>
      </c>
      <c r="I127">
        <f>IF($B127="","",IFERROR(INDEX(Players!$Q$2:$Q$301,MATCH($B127,Players!$B$2:$B$301,0)),""))</f>
        <v/>
      </c>
      <c r="J127">
        <f>IF($B127="","",IFERROR(INDEX(Players!$R$2:$R$301,MATCH($B127,Players!$B$2:$B$301,0)),""))</f>
        <v/>
      </c>
    </row>
    <row r="128">
      <c r="A128" t="n">
        <v>10</v>
      </c>
      <c r="B128">
        <f>IFERROR(INDEX(Board!$H$2:$H$17,10),"")</f>
        <v/>
      </c>
      <c r="C128">
        <f>IF($B128="","",IFERROR(INDEX(Players!$C$2:$C$301,MATCH($B128,Players!$B$2:$B$301,0)),""))</f>
        <v/>
      </c>
      <c r="D128">
        <f>IF($B128="","",IFERROR(INDEX(Players!$D$2:$D$301,MATCH($B128,Players!$B$2:$B$301,0)),""))</f>
        <v/>
      </c>
      <c r="E128">
        <f>IF($B128="","",IFERROR(INDEX(Players!$M$2:$M$301,MATCH($B128,Players!$B$2:$B$301,0)),""))</f>
        <v/>
      </c>
      <c r="F128">
        <f>IF($B128="","",IFERROR(INDEX(Players!$N$2:$N$301,MATCH($B128,Players!$B$2:$B$301,0)),""))</f>
        <v/>
      </c>
      <c r="G128">
        <f>IF($B128="","",IFERROR(INDEX(Players!$O$2:$O$301,MATCH($B128,Players!$B$2:$B$301,0)),""))</f>
        <v/>
      </c>
      <c r="H128">
        <f>IF($B128="","",IFERROR(INDEX(Players!$P$2:$P$301,MATCH($B128,Players!$B$2:$B$301,0)),""))</f>
        <v/>
      </c>
      <c r="I128">
        <f>IF($B128="","",IFERROR(INDEX(Players!$Q$2:$Q$301,MATCH($B128,Players!$B$2:$B$301,0)),""))</f>
        <v/>
      </c>
      <c r="J128">
        <f>IF($B128="","",IFERROR(INDEX(Players!$R$2:$R$301,MATCH($B128,Players!$B$2:$B$301,0)),""))</f>
        <v/>
      </c>
    </row>
    <row r="129">
      <c r="A129" t="n">
        <v>11</v>
      </c>
      <c r="B129">
        <f>IFERROR(INDEX(Board!$H$2:$H$17,11),"")</f>
        <v/>
      </c>
      <c r="C129">
        <f>IF($B129="","",IFERROR(INDEX(Players!$C$2:$C$301,MATCH($B129,Players!$B$2:$B$301,0)),""))</f>
        <v/>
      </c>
      <c r="D129">
        <f>IF($B129="","",IFERROR(INDEX(Players!$D$2:$D$301,MATCH($B129,Players!$B$2:$B$301,0)),""))</f>
        <v/>
      </c>
      <c r="E129">
        <f>IF($B129="","",IFERROR(INDEX(Players!$M$2:$M$301,MATCH($B129,Players!$B$2:$B$301,0)),""))</f>
        <v/>
      </c>
      <c r="F129">
        <f>IF($B129="","",IFERROR(INDEX(Players!$N$2:$N$301,MATCH($B129,Players!$B$2:$B$301,0)),""))</f>
        <v/>
      </c>
      <c r="G129">
        <f>IF($B129="","",IFERROR(INDEX(Players!$O$2:$O$301,MATCH($B129,Players!$B$2:$B$301,0)),""))</f>
        <v/>
      </c>
      <c r="H129">
        <f>IF($B129="","",IFERROR(INDEX(Players!$P$2:$P$301,MATCH($B129,Players!$B$2:$B$301,0)),""))</f>
        <v/>
      </c>
      <c r="I129">
        <f>IF($B129="","",IFERROR(INDEX(Players!$Q$2:$Q$301,MATCH($B129,Players!$B$2:$B$301,0)),""))</f>
        <v/>
      </c>
      <c r="J129">
        <f>IF($B129="","",IFERROR(INDEX(Players!$R$2:$R$301,MATCH($B129,Players!$B$2:$B$301,0)),""))</f>
        <v/>
      </c>
    </row>
    <row r="130">
      <c r="A130" t="n">
        <v>12</v>
      </c>
      <c r="B130">
        <f>IFERROR(INDEX(Board!$H$2:$H$17,12),"")</f>
        <v/>
      </c>
      <c r="C130">
        <f>IF($B130="","",IFERROR(INDEX(Players!$C$2:$C$301,MATCH($B130,Players!$B$2:$B$301,0)),""))</f>
        <v/>
      </c>
      <c r="D130">
        <f>IF($B130="","",IFERROR(INDEX(Players!$D$2:$D$301,MATCH($B130,Players!$B$2:$B$301,0)),""))</f>
        <v/>
      </c>
      <c r="E130">
        <f>IF($B130="","",IFERROR(INDEX(Players!$M$2:$M$301,MATCH($B130,Players!$B$2:$B$301,0)),""))</f>
        <v/>
      </c>
      <c r="F130">
        <f>IF($B130="","",IFERROR(INDEX(Players!$N$2:$N$301,MATCH($B130,Players!$B$2:$B$301,0)),""))</f>
        <v/>
      </c>
      <c r="G130">
        <f>IF($B130="","",IFERROR(INDEX(Players!$O$2:$O$301,MATCH($B130,Players!$B$2:$B$301,0)),""))</f>
        <v/>
      </c>
      <c r="H130">
        <f>IF($B130="","",IFERROR(INDEX(Players!$P$2:$P$301,MATCH($B130,Players!$B$2:$B$301,0)),""))</f>
        <v/>
      </c>
      <c r="I130">
        <f>IF($B130="","",IFERROR(INDEX(Players!$Q$2:$Q$301,MATCH($B130,Players!$B$2:$B$301,0)),""))</f>
        <v/>
      </c>
      <c r="J130">
        <f>IF($B130="","",IFERROR(INDEX(Players!$R$2:$R$301,MATCH($B130,Players!$B$2:$B$301,0)),""))</f>
        <v/>
      </c>
    </row>
    <row r="131">
      <c r="A131" t="n">
        <v>13</v>
      </c>
      <c r="B131">
        <f>IFERROR(INDEX(Board!$H$2:$H$17,13),"")</f>
        <v/>
      </c>
      <c r="C131">
        <f>IF($B131="","",IFERROR(INDEX(Players!$C$2:$C$301,MATCH($B131,Players!$B$2:$B$301,0)),""))</f>
        <v/>
      </c>
      <c r="D131">
        <f>IF($B131="","",IFERROR(INDEX(Players!$D$2:$D$301,MATCH($B131,Players!$B$2:$B$301,0)),""))</f>
        <v/>
      </c>
      <c r="E131">
        <f>IF($B131="","",IFERROR(INDEX(Players!$M$2:$M$301,MATCH($B131,Players!$B$2:$B$301,0)),""))</f>
        <v/>
      </c>
      <c r="F131">
        <f>IF($B131="","",IFERROR(INDEX(Players!$N$2:$N$301,MATCH($B131,Players!$B$2:$B$301,0)),""))</f>
        <v/>
      </c>
      <c r="G131">
        <f>IF($B131="","",IFERROR(INDEX(Players!$O$2:$O$301,MATCH($B131,Players!$B$2:$B$301,0)),""))</f>
        <v/>
      </c>
      <c r="H131">
        <f>IF($B131="","",IFERROR(INDEX(Players!$P$2:$P$301,MATCH($B131,Players!$B$2:$B$301,0)),""))</f>
        <v/>
      </c>
      <c r="I131">
        <f>IF($B131="","",IFERROR(INDEX(Players!$Q$2:$Q$301,MATCH($B131,Players!$B$2:$B$301,0)),""))</f>
        <v/>
      </c>
      <c r="J131">
        <f>IF($B131="","",IFERROR(INDEX(Players!$R$2:$R$301,MATCH($B131,Players!$B$2:$B$301,0)),""))</f>
        <v/>
      </c>
    </row>
    <row r="132">
      <c r="A132" t="n">
        <v>14</v>
      </c>
      <c r="B132">
        <f>IFERROR(INDEX(Board!$H$2:$H$17,14),"")</f>
        <v/>
      </c>
      <c r="C132">
        <f>IF($B132="","",IFERROR(INDEX(Players!$C$2:$C$301,MATCH($B132,Players!$B$2:$B$301,0)),""))</f>
        <v/>
      </c>
      <c r="D132">
        <f>IF($B132="","",IFERROR(INDEX(Players!$D$2:$D$301,MATCH($B132,Players!$B$2:$B$301,0)),""))</f>
        <v/>
      </c>
      <c r="E132">
        <f>IF($B132="","",IFERROR(INDEX(Players!$M$2:$M$301,MATCH($B132,Players!$B$2:$B$301,0)),""))</f>
        <v/>
      </c>
      <c r="F132">
        <f>IF($B132="","",IFERROR(INDEX(Players!$N$2:$N$301,MATCH($B132,Players!$B$2:$B$301,0)),""))</f>
        <v/>
      </c>
      <c r="G132">
        <f>IF($B132="","",IFERROR(INDEX(Players!$O$2:$O$301,MATCH($B132,Players!$B$2:$B$301,0)),""))</f>
        <v/>
      </c>
      <c r="H132">
        <f>IF($B132="","",IFERROR(INDEX(Players!$P$2:$P$301,MATCH($B132,Players!$B$2:$B$301,0)),""))</f>
        <v/>
      </c>
      <c r="I132">
        <f>IF($B132="","",IFERROR(INDEX(Players!$Q$2:$Q$301,MATCH($B132,Players!$B$2:$B$301,0)),""))</f>
        <v/>
      </c>
      <c r="J132">
        <f>IF($B132="","",IFERROR(INDEX(Players!$R$2:$R$301,MATCH($B132,Players!$B$2:$B$301,0)),""))</f>
        <v/>
      </c>
    </row>
    <row r="133">
      <c r="A133" t="n">
        <v>15</v>
      </c>
      <c r="B133">
        <f>IFERROR(INDEX(Board!$H$2:$H$17,15),"")</f>
        <v/>
      </c>
      <c r="C133">
        <f>IF($B133="","",IFERROR(INDEX(Players!$C$2:$C$301,MATCH($B133,Players!$B$2:$B$301,0)),""))</f>
        <v/>
      </c>
      <c r="D133">
        <f>IF($B133="","",IFERROR(INDEX(Players!$D$2:$D$301,MATCH($B133,Players!$B$2:$B$301,0)),""))</f>
        <v/>
      </c>
      <c r="E133">
        <f>IF($B133="","",IFERROR(INDEX(Players!$M$2:$M$301,MATCH($B133,Players!$B$2:$B$301,0)),""))</f>
        <v/>
      </c>
      <c r="F133">
        <f>IF($B133="","",IFERROR(INDEX(Players!$N$2:$N$301,MATCH($B133,Players!$B$2:$B$301,0)),""))</f>
        <v/>
      </c>
      <c r="G133">
        <f>IF($B133="","",IFERROR(INDEX(Players!$O$2:$O$301,MATCH($B133,Players!$B$2:$B$301,0)),""))</f>
        <v/>
      </c>
      <c r="H133">
        <f>IF($B133="","",IFERROR(INDEX(Players!$P$2:$P$301,MATCH($B133,Players!$B$2:$B$301,0)),""))</f>
        <v/>
      </c>
      <c r="I133">
        <f>IF($B133="","",IFERROR(INDEX(Players!$Q$2:$Q$301,MATCH($B133,Players!$B$2:$B$301,0)),""))</f>
        <v/>
      </c>
      <c r="J133">
        <f>IF($B133="","",IFERROR(INDEX(Players!$R$2:$R$301,MATCH($B133,Players!$B$2:$B$301,0)),""))</f>
        <v/>
      </c>
    </row>
    <row r="134">
      <c r="A134" t="n">
        <v>16</v>
      </c>
      <c r="B134">
        <f>IFERROR(INDEX(Board!$H$2:$H$17,16),"")</f>
        <v/>
      </c>
      <c r="C134">
        <f>IF($B134="","",IFERROR(INDEX(Players!$C$2:$C$301,MATCH($B134,Players!$B$2:$B$301,0)),""))</f>
        <v/>
      </c>
      <c r="D134">
        <f>IF($B134="","",IFERROR(INDEX(Players!$D$2:$D$301,MATCH($B134,Players!$B$2:$B$301,0)),""))</f>
        <v/>
      </c>
      <c r="E134">
        <f>IF($B134="","",IFERROR(INDEX(Players!$M$2:$M$301,MATCH($B134,Players!$B$2:$B$301,0)),""))</f>
        <v/>
      </c>
      <c r="F134">
        <f>IF($B134="","",IFERROR(INDEX(Players!$N$2:$N$301,MATCH($B134,Players!$B$2:$B$301,0)),""))</f>
        <v/>
      </c>
      <c r="G134">
        <f>IF($B134="","",IFERROR(INDEX(Players!$O$2:$O$301,MATCH($B134,Players!$B$2:$B$301,0)),""))</f>
        <v/>
      </c>
      <c r="H134">
        <f>IF($B134="","",IFERROR(INDEX(Players!$P$2:$P$301,MATCH($B134,Players!$B$2:$B$301,0)),""))</f>
        <v/>
      </c>
      <c r="I134">
        <f>IF($B134="","",IFERROR(INDEX(Players!$Q$2:$Q$301,MATCH($B134,Players!$B$2:$B$301,0)),""))</f>
        <v/>
      </c>
      <c r="J134">
        <f>IF($B134="","",IFERROR(INDEX(Players!$R$2:$R$301,MATCH($B134,Players!$B$2:$B$301,0)),""))</f>
        <v/>
      </c>
    </row>
    <row r="135">
      <c r="B135" s="29" t="inlineStr">
        <is>
          <t>TOTAL</t>
        </is>
      </c>
      <c r="E135" s="33">
        <f>SUM(E119:E134)</f>
        <v/>
      </c>
      <c r="F135" s="33">
        <f>SUM(F119:F134)</f>
        <v/>
      </c>
      <c r="G135" s="33">
        <f>SUM(G119:G134)</f>
        <v/>
      </c>
      <c r="H135" s="33">
        <f>SUM(H119:H134)</f>
        <v/>
      </c>
      <c r="I135" s="33">
        <f>SUM(I119:I134)</f>
        <v/>
      </c>
      <c r="J135" s="33">
        <f>SUM(J119:J134)</f>
        <v/>
      </c>
    </row>
    <row r="136">
      <c r="A136" s="34" t="inlineStr">
        <is>
          <t>Team 8</t>
        </is>
      </c>
    </row>
    <row r="137">
      <c r="A137" s="23" t="inlineStr">
        <is>
          <t>Pick</t>
        </is>
      </c>
      <c r="B137" s="23" t="inlineStr">
        <is>
          <t>Player</t>
        </is>
      </c>
      <c r="C137" s="23" t="inlineStr">
        <is>
          <t>Team</t>
        </is>
      </c>
      <c r="D137" s="23" t="inlineStr">
        <is>
          <t>Pos</t>
        </is>
      </c>
      <c r="E137" s="23" t="inlineStr">
        <is>
          <t>G</t>
        </is>
      </c>
      <c r="F137" s="23" t="inlineStr">
        <is>
          <t>A</t>
        </is>
      </c>
      <c r="G137" s="23" t="inlineStr">
        <is>
          <t>PPP</t>
        </is>
      </c>
      <c r="H137" s="23" t="inlineStr">
        <is>
          <t>SOG</t>
        </is>
      </c>
      <c r="I137" s="23" t="inlineStr">
        <is>
          <t>HIT</t>
        </is>
      </c>
      <c r="J137" s="23" t="inlineStr">
        <is>
          <t>BLK</t>
        </is>
      </c>
    </row>
    <row r="138">
      <c r="A138" t="n">
        <v>1</v>
      </c>
      <c r="B138">
        <f>IFERROR(INDEX(Board!$I$2:$I$17,1),"")</f>
        <v/>
      </c>
      <c r="C138">
        <f>IF($B138="","",IFERROR(INDEX(Players!$C$2:$C$301,MATCH($B138,Players!$B$2:$B$301,0)),""))</f>
        <v/>
      </c>
      <c r="D138">
        <f>IF($B138="","",IFERROR(INDEX(Players!$D$2:$D$301,MATCH($B138,Players!$B$2:$B$301,0)),""))</f>
        <v/>
      </c>
      <c r="E138">
        <f>IF($B138="","",IFERROR(INDEX(Players!$M$2:$M$301,MATCH($B138,Players!$B$2:$B$301,0)),""))</f>
        <v/>
      </c>
      <c r="F138">
        <f>IF($B138="","",IFERROR(INDEX(Players!$N$2:$N$301,MATCH($B138,Players!$B$2:$B$301,0)),""))</f>
        <v/>
      </c>
      <c r="G138">
        <f>IF($B138="","",IFERROR(INDEX(Players!$O$2:$O$301,MATCH($B138,Players!$B$2:$B$301,0)),""))</f>
        <v/>
      </c>
      <c r="H138">
        <f>IF($B138="","",IFERROR(INDEX(Players!$P$2:$P$301,MATCH($B138,Players!$B$2:$B$301,0)),""))</f>
        <v/>
      </c>
      <c r="I138">
        <f>IF($B138="","",IFERROR(INDEX(Players!$Q$2:$Q$301,MATCH($B138,Players!$B$2:$B$301,0)),""))</f>
        <v/>
      </c>
      <c r="J138">
        <f>IF($B138="","",IFERROR(INDEX(Players!$R$2:$R$301,MATCH($B138,Players!$B$2:$B$301,0)),""))</f>
        <v/>
      </c>
    </row>
    <row r="139">
      <c r="A139" t="n">
        <v>2</v>
      </c>
      <c r="B139">
        <f>IFERROR(INDEX(Board!$I$2:$I$17,2),"")</f>
        <v/>
      </c>
      <c r="C139">
        <f>IF($B139="","",IFERROR(INDEX(Players!$C$2:$C$301,MATCH($B139,Players!$B$2:$B$301,0)),""))</f>
        <v/>
      </c>
      <c r="D139">
        <f>IF($B139="","",IFERROR(INDEX(Players!$D$2:$D$301,MATCH($B139,Players!$B$2:$B$301,0)),""))</f>
        <v/>
      </c>
      <c r="E139">
        <f>IF($B139="","",IFERROR(INDEX(Players!$M$2:$M$301,MATCH($B139,Players!$B$2:$B$301,0)),""))</f>
        <v/>
      </c>
      <c r="F139">
        <f>IF($B139="","",IFERROR(INDEX(Players!$N$2:$N$301,MATCH($B139,Players!$B$2:$B$301,0)),""))</f>
        <v/>
      </c>
      <c r="G139">
        <f>IF($B139="","",IFERROR(INDEX(Players!$O$2:$O$301,MATCH($B139,Players!$B$2:$B$301,0)),""))</f>
        <v/>
      </c>
      <c r="H139">
        <f>IF($B139="","",IFERROR(INDEX(Players!$P$2:$P$301,MATCH($B139,Players!$B$2:$B$301,0)),""))</f>
        <v/>
      </c>
      <c r="I139">
        <f>IF($B139="","",IFERROR(INDEX(Players!$Q$2:$Q$301,MATCH($B139,Players!$B$2:$B$301,0)),""))</f>
        <v/>
      </c>
      <c r="J139">
        <f>IF($B139="","",IFERROR(INDEX(Players!$R$2:$R$301,MATCH($B139,Players!$B$2:$B$301,0)),""))</f>
        <v/>
      </c>
    </row>
    <row r="140">
      <c r="A140" t="n">
        <v>3</v>
      </c>
      <c r="B140">
        <f>IFERROR(INDEX(Board!$I$2:$I$17,3),"")</f>
        <v/>
      </c>
      <c r="C140">
        <f>IF($B140="","",IFERROR(INDEX(Players!$C$2:$C$301,MATCH($B140,Players!$B$2:$B$301,0)),""))</f>
        <v/>
      </c>
      <c r="D140">
        <f>IF($B140="","",IFERROR(INDEX(Players!$D$2:$D$301,MATCH($B140,Players!$B$2:$B$301,0)),""))</f>
        <v/>
      </c>
      <c r="E140">
        <f>IF($B140="","",IFERROR(INDEX(Players!$M$2:$M$301,MATCH($B140,Players!$B$2:$B$301,0)),""))</f>
        <v/>
      </c>
      <c r="F140">
        <f>IF($B140="","",IFERROR(INDEX(Players!$N$2:$N$301,MATCH($B140,Players!$B$2:$B$301,0)),""))</f>
        <v/>
      </c>
      <c r="G140">
        <f>IF($B140="","",IFERROR(INDEX(Players!$O$2:$O$301,MATCH($B140,Players!$B$2:$B$301,0)),""))</f>
        <v/>
      </c>
      <c r="H140">
        <f>IF($B140="","",IFERROR(INDEX(Players!$P$2:$P$301,MATCH($B140,Players!$B$2:$B$301,0)),""))</f>
        <v/>
      </c>
      <c r="I140">
        <f>IF($B140="","",IFERROR(INDEX(Players!$Q$2:$Q$301,MATCH($B140,Players!$B$2:$B$301,0)),""))</f>
        <v/>
      </c>
      <c r="J140">
        <f>IF($B140="","",IFERROR(INDEX(Players!$R$2:$R$301,MATCH($B140,Players!$B$2:$B$301,0)),""))</f>
        <v/>
      </c>
    </row>
    <row r="141">
      <c r="A141" t="n">
        <v>4</v>
      </c>
      <c r="B141">
        <f>IFERROR(INDEX(Board!$I$2:$I$17,4),"")</f>
        <v/>
      </c>
      <c r="C141">
        <f>IF($B141="","",IFERROR(INDEX(Players!$C$2:$C$301,MATCH($B141,Players!$B$2:$B$301,0)),""))</f>
        <v/>
      </c>
      <c r="D141">
        <f>IF($B141="","",IFERROR(INDEX(Players!$D$2:$D$301,MATCH($B141,Players!$B$2:$B$301,0)),""))</f>
        <v/>
      </c>
      <c r="E141">
        <f>IF($B141="","",IFERROR(INDEX(Players!$M$2:$M$301,MATCH($B141,Players!$B$2:$B$301,0)),""))</f>
        <v/>
      </c>
      <c r="F141">
        <f>IF($B141="","",IFERROR(INDEX(Players!$N$2:$N$301,MATCH($B141,Players!$B$2:$B$301,0)),""))</f>
        <v/>
      </c>
      <c r="G141">
        <f>IF($B141="","",IFERROR(INDEX(Players!$O$2:$O$301,MATCH($B141,Players!$B$2:$B$301,0)),""))</f>
        <v/>
      </c>
      <c r="H141">
        <f>IF($B141="","",IFERROR(INDEX(Players!$P$2:$P$301,MATCH($B141,Players!$B$2:$B$301,0)),""))</f>
        <v/>
      </c>
      <c r="I141">
        <f>IF($B141="","",IFERROR(INDEX(Players!$Q$2:$Q$301,MATCH($B141,Players!$B$2:$B$301,0)),""))</f>
        <v/>
      </c>
      <c r="J141">
        <f>IF($B141="","",IFERROR(INDEX(Players!$R$2:$R$301,MATCH($B141,Players!$B$2:$B$301,0)),""))</f>
        <v/>
      </c>
    </row>
    <row r="142">
      <c r="A142" t="n">
        <v>5</v>
      </c>
      <c r="B142">
        <f>IFERROR(INDEX(Board!$I$2:$I$17,5),"")</f>
        <v/>
      </c>
      <c r="C142">
        <f>IF($B142="","",IFERROR(INDEX(Players!$C$2:$C$301,MATCH($B142,Players!$B$2:$B$301,0)),""))</f>
        <v/>
      </c>
      <c r="D142">
        <f>IF($B142="","",IFERROR(INDEX(Players!$D$2:$D$301,MATCH($B142,Players!$B$2:$B$301,0)),""))</f>
        <v/>
      </c>
      <c r="E142">
        <f>IF($B142="","",IFERROR(INDEX(Players!$M$2:$M$301,MATCH($B142,Players!$B$2:$B$301,0)),""))</f>
        <v/>
      </c>
      <c r="F142">
        <f>IF($B142="","",IFERROR(INDEX(Players!$N$2:$N$301,MATCH($B142,Players!$B$2:$B$301,0)),""))</f>
        <v/>
      </c>
      <c r="G142">
        <f>IF($B142="","",IFERROR(INDEX(Players!$O$2:$O$301,MATCH($B142,Players!$B$2:$B$301,0)),""))</f>
        <v/>
      </c>
      <c r="H142">
        <f>IF($B142="","",IFERROR(INDEX(Players!$P$2:$P$301,MATCH($B142,Players!$B$2:$B$301,0)),""))</f>
        <v/>
      </c>
      <c r="I142">
        <f>IF($B142="","",IFERROR(INDEX(Players!$Q$2:$Q$301,MATCH($B142,Players!$B$2:$B$301,0)),""))</f>
        <v/>
      </c>
      <c r="J142">
        <f>IF($B142="","",IFERROR(INDEX(Players!$R$2:$R$301,MATCH($B142,Players!$B$2:$B$301,0)),""))</f>
        <v/>
      </c>
    </row>
    <row r="143">
      <c r="A143" t="n">
        <v>6</v>
      </c>
      <c r="B143">
        <f>IFERROR(INDEX(Board!$I$2:$I$17,6),"")</f>
        <v/>
      </c>
      <c r="C143">
        <f>IF($B143="","",IFERROR(INDEX(Players!$C$2:$C$301,MATCH($B143,Players!$B$2:$B$301,0)),""))</f>
        <v/>
      </c>
      <c r="D143">
        <f>IF($B143="","",IFERROR(INDEX(Players!$D$2:$D$301,MATCH($B143,Players!$B$2:$B$301,0)),""))</f>
        <v/>
      </c>
      <c r="E143">
        <f>IF($B143="","",IFERROR(INDEX(Players!$M$2:$M$301,MATCH($B143,Players!$B$2:$B$301,0)),""))</f>
        <v/>
      </c>
      <c r="F143">
        <f>IF($B143="","",IFERROR(INDEX(Players!$N$2:$N$301,MATCH($B143,Players!$B$2:$B$301,0)),""))</f>
        <v/>
      </c>
      <c r="G143">
        <f>IF($B143="","",IFERROR(INDEX(Players!$O$2:$O$301,MATCH($B143,Players!$B$2:$B$301,0)),""))</f>
        <v/>
      </c>
      <c r="H143">
        <f>IF($B143="","",IFERROR(INDEX(Players!$P$2:$P$301,MATCH($B143,Players!$B$2:$B$301,0)),""))</f>
        <v/>
      </c>
      <c r="I143">
        <f>IF($B143="","",IFERROR(INDEX(Players!$Q$2:$Q$301,MATCH($B143,Players!$B$2:$B$301,0)),""))</f>
        <v/>
      </c>
      <c r="J143">
        <f>IF($B143="","",IFERROR(INDEX(Players!$R$2:$R$301,MATCH($B143,Players!$B$2:$B$301,0)),""))</f>
        <v/>
      </c>
    </row>
    <row r="144">
      <c r="A144" t="n">
        <v>7</v>
      </c>
      <c r="B144">
        <f>IFERROR(INDEX(Board!$I$2:$I$17,7),"")</f>
        <v/>
      </c>
      <c r="C144">
        <f>IF($B144="","",IFERROR(INDEX(Players!$C$2:$C$301,MATCH($B144,Players!$B$2:$B$301,0)),""))</f>
        <v/>
      </c>
      <c r="D144">
        <f>IF($B144="","",IFERROR(INDEX(Players!$D$2:$D$301,MATCH($B144,Players!$B$2:$B$301,0)),""))</f>
        <v/>
      </c>
      <c r="E144">
        <f>IF($B144="","",IFERROR(INDEX(Players!$M$2:$M$301,MATCH($B144,Players!$B$2:$B$301,0)),""))</f>
        <v/>
      </c>
      <c r="F144">
        <f>IF($B144="","",IFERROR(INDEX(Players!$N$2:$N$301,MATCH($B144,Players!$B$2:$B$301,0)),""))</f>
        <v/>
      </c>
      <c r="G144">
        <f>IF($B144="","",IFERROR(INDEX(Players!$O$2:$O$301,MATCH($B144,Players!$B$2:$B$301,0)),""))</f>
        <v/>
      </c>
      <c r="H144">
        <f>IF($B144="","",IFERROR(INDEX(Players!$P$2:$P$301,MATCH($B144,Players!$B$2:$B$301,0)),""))</f>
        <v/>
      </c>
      <c r="I144">
        <f>IF($B144="","",IFERROR(INDEX(Players!$Q$2:$Q$301,MATCH($B144,Players!$B$2:$B$301,0)),""))</f>
        <v/>
      </c>
      <c r="J144">
        <f>IF($B144="","",IFERROR(INDEX(Players!$R$2:$R$301,MATCH($B144,Players!$B$2:$B$301,0)),""))</f>
        <v/>
      </c>
    </row>
    <row r="145">
      <c r="A145" t="n">
        <v>8</v>
      </c>
      <c r="B145">
        <f>IFERROR(INDEX(Board!$I$2:$I$17,8),"")</f>
        <v/>
      </c>
      <c r="C145">
        <f>IF($B145="","",IFERROR(INDEX(Players!$C$2:$C$301,MATCH($B145,Players!$B$2:$B$301,0)),""))</f>
        <v/>
      </c>
      <c r="D145">
        <f>IF($B145="","",IFERROR(INDEX(Players!$D$2:$D$301,MATCH($B145,Players!$B$2:$B$301,0)),""))</f>
        <v/>
      </c>
      <c r="E145">
        <f>IF($B145="","",IFERROR(INDEX(Players!$M$2:$M$301,MATCH($B145,Players!$B$2:$B$301,0)),""))</f>
        <v/>
      </c>
      <c r="F145">
        <f>IF($B145="","",IFERROR(INDEX(Players!$N$2:$N$301,MATCH($B145,Players!$B$2:$B$301,0)),""))</f>
        <v/>
      </c>
      <c r="G145">
        <f>IF($B145="","",IFERROR(INDEX(Players!$O$2:$O$301,MATCH($B145,Players!$B$2:$B$301,0)),""))</f>
        <v/>
      </c>
      <c r="H145">
        <f>IF($B145="","",IFERROR(INDEX(Players!$P$2:$P$301,MATCH($B145,Players!$B$2:$B$301,0)),""))</f>
        <v/>
      </c>
      <c r="I145">
        <f>IF($B145="","",IFERROR(INDEX(Players!$Q$2:$Q$301,MATCH($B145,Players!$B$2:$B$301,0)),""))</f>
        <v/>
      </c>
      <c r="J145">
        <f>IF($B145="","",IFERROR(INDEX(Players!$R$2:$R$301,MATCH($B145,Players!$B$2:$B$301,0)),""))</f>
        <v/>
      </c>
    </row>
    <row r="146">
      <c r="A146" t="n">
        <v>9</v>
      </c>
      <c r="B146">
        <f>IFERROR(INDEX(Board!$I$2:$I$17,9),"")</f>
        <v/>
      </c>
      <c r="C146">
        <f>IF($B146="","",IFERROR(INDEX(Players!$C$2:$C$301,MATCH($B146,Players!$B$2:$B$301,0)),""))</f>
        <v/>
      </c>
      <c r="D146">
        <f>IF($B146="","",IFERROR(INDEX(Players!$D$2:$D$301,MATCH($B146,Players!$B$2:$B$301,0)),""))</f>
        <v/>
      </c>
      <c r="E146">
        <f>IF($B146="","",IFERROR(INDEX(Players!$M$2:$M$301,MATCH($B146,Players!$B$2:$B$301,0)),""))</f>
        <v/>
      </c>
      <c r="F146">
        <f>IF($B146="","",IFERROR(INDEX(Players!$N$2:$N$301,MATCH($B146,Players!$B$2:$B$301,0)),""))</f>
        <v/>
      </c>
      <c r="G146">
        <f>IF($B146="","",IFERROR(INDEX(Players!$O$2:$O$301,MATCH($B146,Players!$B$2:$B$301,0)),""))</f>
        <v/>
      </c>
      <c r="H146">
        <f>IF($B146="","",IFERROR(INDEX(Players!$P$2:$P$301,MATCH($B146,Players!$B$2:$B$301,0)),""))</f>
        <v/>
      </c>
      <c r="I146">
        <f>IF($B146="","",IFERROR(INDEX(Players!$Q$2:$Q$301,MATCH($B146,Players!$B$2:$B$301,0)),""))</f>
        <v/>
      </c>
      <c r="J146">
        <f>IF($B146="","",IFERROR(INDEX(Players!$R$2:$R$301,MATCH($B146,Players!$B$2:$B$301,0)),""))</f>
        <v/>
      </c>
    </row>
    <row r="147">
      <c r="A147" t="n">
        <v>10</v>
      </c>
      <c r="B147">
        <f>IFERROR(INDEX(Board!$I$2:$I$17,10),"")</f>
        <v/>
      </c>
      <c r="C147">
        <f>IF($B147="","",IFERROR(INDEX(Players!$C$2:$C$301,MATCH($B147,Players!$B$2:$B$301,0)),""))</f>
        <v/>
      </c>
      <c r="D147">
        <f>IF($B147="","",IFERROR(INDEX(Players!$D$2:$D$301,MATCH($B147,Players!$B$2:$B$301,0)),""))</f>
        <v/>
      </c>
      <c r="E147">
        <f>IF($B147="","",IFERROR(INDEX(Players!$M$2:$M$301,MATCH($B147,Players!$B$2:$B$301,0)),""))</f>
        <v/>
      </c>
      <c r="F147">
        <f>IF($B147="","",IFERROR(INDEX(Players!$N$2:$N$301,MATCH($B147,Players!$B$2:$B$301,0)),""))</f>
        <v/>
      </c>
      <c r="G147">
        <f>IF($B147="","",IFERROR(INDEX(Players!$O$2:$O$301,MATCH($B147,Players!$B$2:$B$301,0)),""))</f>
        <v/>
      </c>
      <c r="H147">
        <f>IF($B147="","",IFERROR(INDEX(Players!$P$2:$P$301,MATCH($B147,Players!$B$2:$B$301,0)),""))</f>
        <v/>
      </c>
      <c r="I147">
        <f>IF($B147="","",IFERROR(INDEX(Players!$Q$2:$Q$301,MATCH($B147,Players!$B$2:$B$301,0)),""))</f>
        <v/>
      </c>
      <c r="J147">
        <f>IF($B147="","",IFERROR(INDEX(Players!$R$2:$R$301,MATCH($B147,Players!$B$2:$B$301,0)),""))</f>
        <v/>
      </c>
    </row>
    <row r="148">
      <c r="A148" t="n">
        <v>11</v>
      </c>
      <c r="B148">
        <f>IFERROR(INDEX(Board!$I$2:$I$17,11),"")</f>
        <v/>
      </c>
      <c r="C148">
        <f>IF($B148="","",IFERROR(INDEX(Players!$C$2:$C$301,MATCH($B148,Players!$B$2:$B$301,0)),""))</f>
        <v/>
      </c>
      <c r="D148">
        <f>IF($B148="","",IFERROR(INDEX(Players!$D$2:$D$301,MATCH($B148,Players!$B$2:$B$301,0)),""))</f>
        <v/>
      </c>
      <c r="E148">
        <f>IF($B148="","",IFERROR(INDEX(Players!$M$2:$M$301,MATCH($B148,Players!$B$2:$B$301,0)),""))</f>
        <v/>
      </c>
      <c r="F148">
        <f>IF($B148="","",IFERROR(INDEX(Players!$N$2:$N$301,MATCH($B148,Players!$B$2:$B$301,0)),""))</f>
        <v/>
      </c>
      <c r="G148">
        <f>IF($B148="","",IFERROR(INDEX(Players!$O$2:$O$301,MATCH($B148,Players!$B$2:$B$301,0)),""))</f>
        <v/>
      </c>
      <c r="H148">
        <f>IF($B148="","",IFERROR(INDEX(Players!$P$2:$P$301,MATCH($B148,Players!$B$2:$B$301,0)),""))</f>
        <v/>
      </c>
      <c r="I148">
        <f>IF($B148="","",IFERROR(INDEX(Players!$Q$2:$Q$301,MATCH($B148,Players!$B$2:$B$301,0)),""))</f>
        <v/>
      </c>
      <c r="J148">
        <f>IF($B148="","",IFERROR(INDEX(Players!$R$2:$R$301,MATCH($B148,Players!$B$2:$B$301,0)),""))</f>
        <v/>
      </c>
    </row>
    <row r="149">
      <c r="A149" t="n">
        <v>12</v>
      </c>
      <c r="B149">
        <f>IFERROR(INDEX(Board!$I$2:$I$17,12),"")</f>
        <v/>
      </c>
      <c r="C149">
        <f>IF($B149="","",IFERROR(INDEX(Players!$C$2:$C$301,MATCH($B149,Players!$B$2:$B$301,0)),""))</f>
        <v/>
      </c>
      <c r="D149">
        <f>IF($B149="","",IFERROR(INDEX(Players!$D$2:$D$301,MATCH($B149,Players!$B$2:$B$301,0)),""))</f>
        <v/>
      </c>
      <c r="E149">
        <f>IF($B149="","",IFERROR(INDEX(Players!$M$2:$M$301,MATCH($B149,Players!$B$2:$B$301,0)),""))</f>
        <v/>
      </c>
      <c r="F149">
        <f>IF($B149="","",IFERROR(INDEX(Players!$N$2:$N$301,MATCH($B149,Players!$B$2:$B$301,0)),""))</f>
        <v/>
      </c>
      <c r="G149">
        <f>IF($B149="","",IFERROR(INDEX(Players!$O$2:$O$301,MATCH($B149,Players!$B$2:$B$301,0)),""))</f>
        <v/>
      </c>
      <c r="H149">
        <f>IF($B149="","",IFERROR(INDEX(Players!$P$2:$P$301,MATCH($B149,Players!$B$2:$B$301,0)),""))</f>
        <v/>
      </c>
      <c r="I149">
        <f>IF($B149="","",IFERROR(INDEX(Players!$Q$2:$Q$301,MATCH($B149,Players!$B$2:$B$301,0)),""))</f>
        <v/>
      </c>
      <c r="J149">
        <f>IF($B149="","",IFERROR(INDEX(Players!$R$2:$R$301,MATCH($B149,Players!$B$2:$B$301,0)),""))</f>
        <v/>
      </c>
    </row>
    <row r="150">
      <c r="A150" t="n">
        <v>13</v>
      </c>
      <c r="B150">
        <f>IFERROR(INDEX(Board!$I$2:$I$17,13),"")</f>
        <v/>
      </c>
      <c r="C150">
        <f>IF($B150="","",IFERROR(INDEX(Players!$C$2:$C$301,MATCH($B150,Players!$B$2:$B$301,0)),""))</f>
        <v/>
      </c>
      <c r="D150">
        <f>IF($B150="","",IFERROR(INDEX(Players!$D$2:$D$301,MATCH($B150,Players!$B$2:$B$301,0)),""))</f>
        <v/>
      </c>
      <c r="E150">
        <f>IF($B150="","",IFERROR(INDEX(Players!$M$2:$M$301,MATCH($B150,Players!$B$2:$B$301,0)),""))</f>
        <v/>
      </c>
      <c r="F150">
        <f>IF($B150="","",IFERROR(INDEX(Players!$N$2:$N$301,MATCH($B150,Players!$B$2:$B$301,0)),""))</f>
        <v/>
      </c>
      <c r="G150">
        <f>IF($B150="","",IFERROR(INDEX(Players!$O$2:$O$301,MATCH($B150,Players!$B$2:$B$301,0)),""))</f>
        <v/>
      </c>
      <c r="H150">
        <f>IF($B150="","",IFERROR(INDEX(Players!$P$2:$P$301,MATCH($B150,Players!$B$2:$B$301,0)),""))</f>
        <v/>
      </c>
      <c r="I150">
        <f>IF($B150="","",IFERROR(INDEX(Players!$Q$2:$Q$301,MATCH($B150,Players!$B$2:$B$301,0)),""))</f>
        <v/>
      </c>
      <c r="J150">
        <f>IF($B150="","",IFERROR(INDEX(Players!$R$2:$R$301,MATCH($B150,Players!$B$2:$B$301,0)),""))</f>
        <v/>
      </c>
    </row>
    <row r="151">
      <c r="A151" t="n">
        <v>14</v>
      </c>
      <c r="B151">
        <f>IFERROR(INDEX(Board!$I$2:$I$17,14),"")</f>
        <v/>
      </c>
      <c r="C151">
        <f>IF($B151="","",IFERROR(INDEX(Players!$C$2:$C$301,MATCH($B151,Players!$B$2:$B$301,0)),""))</f>
        <v/>
      </c>
      <c r="D151">
        <f>IF($B151="","",IFERROR(INDEX(Players!$D$2:$D$301,MATCH($B151,Players!$B$2:$B$301,0)),""))</f>
        <v/>
      </c>
      <c r="E151">
        <f>IF($B151="","",IFERROR(INDEX(Players!$M$2:$M$301,MATCH($B151,Players!$B$2:$B$301,0)),""))</f>
        <v/>
      </c>
      <c r="F151">
        <f>IF($B151="","",IFERROR(INDEX(Players!$N$2:$N$301,MATCH($B151,Players!$B$2:$B$301,0)),""))</f>
        <v/>
      </c>
      <c r="G151">
        <f>IF($B151="","",IFERROR(INDEX(Players!$O$2:$O$301,MATCH($B151,Players!$B$2:$B$301,0)),""))</f>
        <v/>
      </c>
      <c r="H151">
        <f>IF($B151="","",IFERROR(INDEX(Players!$P$2:$P$301,MATCH($B151,Players!$B$2:$B$301,0)),""))</f>
        <v/>
      </c>
      <c r="I151">
        <f>IF($B151="","",IFERROR(INDEX(Players!$Q$2:$Q$301,MATCH($B151,Players!$B$2:$B$301,0)),""))</f>
        <v/>
      </c>
      <c r="J151">
        <f>IF($B151="","",IFERROR(INDEX(Players!$R$2:$R$301,MATCH($B151,Players!$B$2:$B$301,0)),""))</f>
        <v/>
      </c>
    </row>
    <row r="152">
      <c r="A152" t="n">
        <v>15</v>
      </c>
      <c r="B152">
        <f>IFERROR(INDEX(Board!$I$2:$I$17,15),"")</f>
        <v/>
      </c>
      <c r="C152">
        <f>IF($B152="","",IFERROR(INDEX(Players!$C$2:$C$301,MATCH($B152,Players!$B$2:$B$301,0)),""))</f>
        <v/>
      </c>
      <c r="D152">
        <f>IF($B152="","",IFERROR(INDEX(Players!$D$2:$D$301,MATCH($B152,Players!$B$2:$B$301,0)),""))</f>
        <v/>
      </c>
      <c r="E152">
        <f>IF($B152="","",IFERROR(INDEX(Players!$M$2:$M$301,MATCH($B152,Players!$B$2:$B$301,0)),""))</f>
        <v/>
      </c>
      <c r="F152">
        <f>IF($B152="","",IFERROR(INDEX(Players!$N$2:$N$301,MATCH($B152,Players!$B$2:$B$301,0)),""))</f>
        <v/>
      </c>
      <c r="G152">
        <f>IF($B152="","",IFERROR(INDEX(Players!$O$2:$O$301,MATCH($B152,Players!$B$2:$B$301,0)),""))</f>
        <v/>
      </c>
      <c r="H152">
        <f>IF($B152="","",IFERROR(INDEX(Players!$P$2:$P$301,MATCH($B152,Players!$B$2:$B$301,0)),""))</f>
        <v/>
      </c>
      <c r="I152">
        <f>IF($B152="","",IFERROR(INDEX(Players!$Q$2:$Q$301,MATCH($B152,Players!$B$2:$B$301,0)),""))</f>
        <v/>
      </c>
      <c r="J152">
        <f>IF($B152="","",IFERROR(INDEX(Players!$R$2:$R$301,MATCH($B152,Players!$B$2:$B$301,0)),""))</f>
        <v/>
      </c>
    </row>
    <row r="153">
      <c r="A153" t="n">
        <v>16</v>
      </c>
      <c r="B153">
        <f>IFERROR(INDEX(Board!$I$2:$I$17,16),"")</f>
        <v/>
      </c>
      <c r="C153">
        <f>IF($B153="","",IFERROR(INDEX(Players!$C$2:$C$301,MATCH($B153,Players!$B$2:$B$301,0)),""))</f>
        <v/>
      </c>
      <c r="D153">
        <f>IF($B153="","",IFERROR(INDEX(Players!$D$2:$D$301,MATCH($B153,Players!$B$2:$B$301,0)),""))</f>
        <v/>
      </c>
      <c r="E153">
        <f>IF($B153="","",IFERROR(INDEX(Players!$M$2:$M$301,MATCH($B153,Players!$B$2:$B$301,0)),""))</f>
        <v/>
      </c>
      <c r="F153">
        <f>IF($B153="","",IFERROR(INDEX(Players!$N$2:$N$301,MATCH($B153,Players!$B$2:$B$301,0)),""))</f>
        <v/>
      </c>
      <c r="G153">
        <f>IF($B153="","",IFERROR(INDEX(Players!$O$2:$O$301,MATCH($B153,Players!$B$2:$B$301,0)),""))</f>
        <v/>
      </c>
      <c r="H153">
        <f>IF($B153="","",IFERROR(INDEX(Players!$P$2:$P$301,MATCH($B153,Players!$B$2:$B$301,0)),""))</f>
        <v/>
      </c>
      <c r="I153">
        <f>IF($B153="","",IFERROR(INDEX(Players!$Q$2:$Q$301,MATCH($B153,Players!$B$2:$B$301,0)),""))</f>
        <v/>
      </c>
      <c r="J153">
        <f>IF($B153="","",IFERROR(INDEX(Players!$R$2:$R$301,MATCH($B153,Players!$B$2:$B$301,0)),""))</f>
        <v/>
      </c>
    </row>
    <row r="154">
      <c r="B154" s="29" t="inlineStr">
        <is>
          <t>TOTAL</t>
        </is>
      </c>
      <c r="E154" s="33">
        <f>SUM(E138:E153)</f>
        <v/>
      </c>
      <c r="F154" s="33">
        <f>SUM(F138:F153)</f>
        <v/>
      </c>
      <c r="G154" s="33">
        <f>SUM(G138:G153)</f>
        <v/>
      </c>
      <c r="H154" s="33">
        <f>SUM(H138:H153)</f>
        <v/>
      </c>
      <c r="I154" s="33">
        <f>SUM(I138:I153)</f>
        <v/>
      </c>
      <c r="J154" s="33">
        <f>SUM(J138:J153)</f>
        <v/>
      </c>
    </row>
    <row r="155">
      <c r="A155" s="34" t="inlineStr">
        <is>
          <t>Team 9</t>
        </is>
      </c>
    </row>
    <row r="156">
      <c r="A156" s="23" t="inlineStr">
        <is>
          <t>Pick</t>
        </is>
      </c>
      <c r="B156" s="23" t="inlineStr">
        <is>
          <t>Player</t>
        </is>
      </c>
      <c r="C156" s="23" t="inlineStr">
        <is>
          <t>Team</t>
        </is>
      </c>
      <c r="D156" s="23" t="inlineStr">
        <is>
          <t>Pos</t>
        </is>
      </c>
      <c r="E156" s="23" t="inlineStr">
        <is>
          <t>G</t>
        </is>
      </c>
      <c r="F156" s="23" t="inlineStr">
        <is>
          <t>A</t>
        </is>
      </c>
      <c r="G156" s="23" t="inlineStr">
        <is>
          <t>PPP</t>
        </is>
      </c>
      <c r="H156" s="23" t="inlineStr">
        <is>
          <t>SOG</t>
        </is>
      </c>
      <c r="I156" s="23" t="inlineStr">
        <is>
          <t>HIT</t>
        </is>
      </c>
      <c r="J156" s="23" t="inlineStr">
        <is>
          <t>BLK</t>
        </is>
      </c>
    </row>
    <row r="157">
      <c r="A157" t="n">
        <v>1</v>
      </c>
      <c r="B157">
        <f>IFERROR(INDEX(Board!$J$2:$J$17,1),"")</f>
        <v/>
      </c>
      <c r="C157">
        <f>IF($B157="","",IFERROR(INDEX(Players!$C$2:$C$301,MATCH($B157,Players!$B$2:$B$301,0)),""))</f>
        <v/>
      </c>
      <c r="D157">
        <f>IF($B157="","",IFERROR(INDEX(Players!$D$2:$D$301,MATCH($B157,Players!$B$2:$B$301,0)),""))</f>
        <v/>
      </c>
      <c r="E157">
        <f>IF($B157="","",IFERROR(INDEX(Players!$M$2:$M$301,MATCH($B157,Players!$B$2:$B$301,0)),""))</f>
        <v/>
      </c>
      <c r="F157">
        <f>IF($B157="","",IFERROR(INDEX(Players!$N$2:$N$301,MATCH($B157,Players!$B$2:$B$301,0)),""))</f>
        <v/>
      </c>
      <c r="G157">
        <f>IF($B157="","",IFERROR(INDEX(Players!$O$2:$O$301,MATCH($B157,Players!$B$2:$B$301,0)),""))</f>
        <v/>
      </c>
      <c r="H157">
        <f>IF($B157="","",IFERROR(INDEX(Players!$P$2:$P$301,MATCH($B157,Players!$B$2:$B$301,0)),""))</f>
        <v/>
      </c>
      <c r="I157">
        <f>IF($B157="","",IFERROR(INDEX(Players!$Q$2:$Q$301,MATCH($B157,Players!$B$2:$B$301,0)),""))</f>
        <v/>
      </c>
      <c r="J157">
        <f>IF($B157="","",IFERROR(INDEX(Players!$R$2:$R$301,MATCH($B157,Players!$B$2:$B$301,0)),""))</f>
        <v/>
      </c>
    </row>
    <row r="158">
      <c r="A158" t="n">
        <v>2</v>
      </c>
      <c r="B158">
        <f>IFERROR(INDEX(Board!$J$2:$J$17,2),"")</f>
        <v/>
      </c>
      <c r="C158">
        <f>IF($B158="","",IFERROR(INDEX(Players!$C$2:$C$301,MATCH($B158,Players!$B$2:$B$301,0)),""))</f>
        <v/>
      </c>
      <c r="D158">
        <f>IF($B158="","",IFERROR(INDEX(Players!$D$2:$D$301,MATCH($B158,Players!$B$2:$B$301,0)),""))</f>
        <v/>
      </c>
      <c r="E158">
        <f>IF($B158="","",IFERROR(INDEX(Players!$M$2:$M$301,MATCH($B158,Players!$B$2:$B$301,0)),""))</f>
        <v/>
      </c>
      <c r="F158">
        <f>IF($B158="","",IFERROR(INDEX(Players!$N$2:$N$301,MATCH($B158,Players!$B$2:$B$301,0)),""))</f>
        <v/>
      </c>
      <c r="G158">
        <f>IF($B158="","",IFERROR(INDEX(Players!$O$2:$O$301,MATCH($B158,Players!$B$2:$B$301,0)),""))</f>
        <v/>
      </c>
      <c r="H158">
        <f>IF($B158="","",IFERROR(INDEX(Players!$P$2:$P$301,MATCH($B158,Players!$B$2:$B$301,0)),""))</f>
        <v/>
      </c>
      <c r="I158">
        <f>IF($B158="","",IFERROR(INDEX(Players!$Q$2:$Q$301,MATCH($B158,Players!$B$2:$B$301,0)),""))</f>
        <v/>
      </c>
      <c r="J158">
        <f>IF($B158="","",IFERROR(INDEX(Players!$R$2:$R$301,MATCH($B158,Players!$B$2:$B$301,0)),""))</f>
        <v/>
      </c>
    </row>
    <row r="159">
      <c r="A159" t="n">
        <v>3</v>
      </c>
      <c r="B159">
        <f>IFERROR(INDEX(Board!$J$2:$J$17,3),"")</f>
        <v/>
      </c>
      <c r="C159">
        <f>IF($B159="","",IFERROR(INDEX(Players!$C$2:$C$301,MATCH($B159,Players!$B$2:$B$301,0)),""))</f>
        <v/>
      </c>
      <c r="D159">
        <f>IF($B159="","",IFERROR(INDEX(Players!$D$2:$D$301,MATCH($B159,Players!$B$2:$B$301,0)),""))</f>
        <v/>
      </c>
      <c r="E159">
        <f>IF($B159="","",IFERROR(INDEX(Players!$M$2:$M$301,MATCH($B159,Players!$B$2:$B$301,0)),""))</f>
        <v/>
      </c>
      <c r="F159">
        <f>IF($B159="","",IFERROR(INDEX(Players!$N$2:$N$301,MATCH($B159,Players!$B$2:$B$301,0)),""))</f>
        <v/>
      </c>
      <c r="G159">
        <f>IF($B159="","",IFERROR(INDEX(Players!$O$2:$O$301,MATCH($B159,Players!$B$2:$B$301,0)),""))</f>
        <v/>
      </c>
      <c r="H159">
        <f>IF($B159="","",IFERROR(INDEX(Players!$P$2:$P$301,MATCH($B159,Players!$B$2:$B$301,0)),""))</f>
        <v/>
      </c>
      <c r="I159">
        <f>IF($B159="","",IFERROR(INDEX(Players!$Q$2:$Q$301,MATCH($B159,Players!$B$2:$B$301,0)),""))</f>
        <v/>
      </c>
      <c r="J159">
        <f>IF($B159="","",IFERROR(INDEX(Players!$R$2:$R$301,MATCH($B159,Players!$B$2:$B$301,0)),""))</f>
        <v/>
      </c>
    </row>
    <row r="160">
      <c r="A160" t="n">
        <v>4</v>
      </c>
      <c r="B160">
        <f>IFERROR(INDEX(Board!$J$2:$J$17,4),"")</f>
        <v/>
      </c>
      <c r="C160">
        <f>IF($B160="","",IFERROR(INDEX(Players!$C$2:$C$301,MATCH($B160,Players!$B$2:$B$301,0)),""))</f>
        <v/>
      </c>
      <c r="D160">
        <f>IF($B160="","",IFERROR(INDEX(Players!$D$2:$D$301,MATCH($B160,Players!$B$2:$B$301,0)),""))</f>
        <v/>
      </c>
      <c r="E160">
        <f>IF($B160="","",IFERROR(INDEX(Players!$M$2:$M$301,MATCH($B160,Players!$B$2:$B$301,0)),""))</f>
        <v/>
      </c>
      <c r="F160">
        <f>IF($B160="","",IFERROR(INDEX(Players!$N$2:$N$301,MATCH($B160,Players!$B$2:$B$301,0)),""))</f>
        <v/>
      </c>
      <c r="G160">
        <f>IF($B160="","",IFERROR(INDEX(Players!$O$2:$O$301,MATCH($B160,Players!$B$2:$B$301,0)),""))</f>
        <v/>
      </c>
      <c r="H160">
        <f>IF($B160="","",IFERROR(INDEX(Players!$P$2:$P$301,MATCH($B160,Players!$B$2:$B$301,0)),""))</f>
        <v/>
      </c>
      <c r="I160">
        <f>IF($B160="","",IFERROR(INDEX(Players!$Q$2:$Q$301,MATCH($B160,Players!$B$2:$B$301,0)),""))</f>
        <v/>
      </c>
      <c r="J160">
        <f>IF($B160="","",IFERROR(INDEX(Players!$R$2:$R$301,MATCH($B160,Players!$B$2:$B$301,0)),""))</f>
        <v/>
      </c>
    </row>
    <row r="161">
      <c r="A161" t="n">
        <v>5</v>
      </c>
      <c r="B161">
        <f>IFERROR(INDEX(Board!$J$2:$J$17,5),"")</f>
        <v/>
      </c>
      <c r="C161">
        <f>IF($B161="","",IFERROR(INDEX(Players!$C$2:$C$301,MATCH($B161,Players!$B$2:$B$301,0)),""))</f>
        <v/>
      </c>
      <c r="D161">
        <f>IF($B161="","",IFERROR(INDEX(Players!$D$2:$D$301,MATCH($B161,Players!$B$2:$B$301,0)),""))</f>
        <v/>
      </c>
      <c r="E161">
        <f>IF($B161="","",IFERROR(INDEX(Players!$M$2:$M$301,MATCH($B161,Players!$B$2:$B$301,0)),""))</f>
        <v/>
      </c>
      <c r="F161">
        <f>IF($B161="","",IFERROR(INDEX(Players!$N$2:$N$301,MATCH($B161,Players!$B$2:$B$301,0)),""))</f>
        <v/>
      </c>
      <c r="G161">
        <f>IF($B161="","",IFERROR(INDEX(Players!$O$2:$O$301,MATCH($B161,Players!$B$2:$B$301,0)),""))</f>
        <v/>
      </c>
      <c r="H161">
        <f>IF($B161="","",IFERROR(INDEX(Players!$P$2:$P$301,MATCH($B161,Players!$B$2:$B$301,0)),""))</f>
        <v/>
      </c>
      <c r="I161">
        <f>IF($B161="","",IFERROR(INDEX(Players!$Q$2:$Q$301,MATCH($B161,Players!$B$2:$B$301,0)),""))</f>
        <v/>
      </c>
      <c r="J161">
        <f>IF($B161="","",IFERROR(INDEX(Players!$R$2:$R$301,MATCH($B161,Players!$B$2:$B$301,0)),""))</f>
        <v/>
      </c>
    </row>
    <row r="162">
      <c r="A162" t="n">
        <v>6</v>
      </c>
      <c r="B162">
        <f>IFERROR(INDEX(Board!$J$2:$J$17,6),"")</f>
        <v/>
      </c>
      <c r="C162">
        <f>IF($B162="","",IFERROR(INDEX(Players!$C$2:$C$301,MATCH($B162,Players!$B$2:$B$301,0)),""))</f>
        <v/>
      </c>
      <c r="D162">
        <f>IF($B162="","",IFERROR(INDEX(Players!$D$2:$D$301,MATCH($B162,Players!$B$2:$B$301,0)),""))</f>
        <v/>
      </c>
      <c r="E162">
        <f>IF($B162="","",IFERROR(INDEX(Players!$M$2:$M$301,MATCH($B162,Players!$B$2:$B$301,0)),""))</f>
        <v/>
      </c>
      <c r="F162">
        <f>IF($B162="","",IFERROR(INDEX(Players!$N$2:$N$301,MATCH($B162,Players!$B$2:$B$301,0)),""))</f>
        <v/>
      </c>
      <c r="G162">
        <f>IF($B162="","",IFERROR(INDEX(Players!$O$2:$O$301,MATCH($B162,Players!$B$2:$B$301,0)),""))</f>
        <v/>
      </c>
      <c r="H162">
        <f>IF($B162="","",IFERROR(INDEX(Players!$P$2:$P$301,MATCH($B162,Players!$B$2:$B$301,0)),""))</f>
        <v/>
      </c>
      <c r="I162">
        <f>IF($B162="","",IFERROR(INDEX(Players!$Q$2:$Q$301,MATCH($B162,Players!$B$2:$B$301,0)),""))</f>
        <v/>
      </c>
      <c r="J162">
        <f>IF($B162="","",IFERROR(INDEX(Players!$R$2:$R$301,MATCH($B162,Players!$B$2:$B$301,0)),""))</f>
        <v/>
      </c>
    </row>
    <row r="163">
      <c r="A163" t="n">
        <v>7</v>
      </c>
      <c r="B163">
        <f>IFERROR(INDEX(Board!$J$2:$J$17,7),"")</f>
        <v/>
      </c>
      <c r="C163">
        <f>IF($B163="","",IFERROR(INDEX(Players!$C$2:$C$301,MATCH($B163,Players!$B$2:$B$301,0)),""))</f>
        <v/>
      </c>
      <c r="D163">
        <f>IF($B163="","",IFERROR(INDEX(Players!$D$2:$D$301,MATCH($B163,Players!$B$2:$B$301,0)),""))</f>
        <v/>
      </c>
      <c r="E163">
        <f>IF($B163="","",IFERROR(INDEX(Players!$M$2:$M$301,MATCH($B163,Players!$B$2:$B$301,0)),""))</f>
        <v/>
      </c>
      <c r="F163">
        <f>IF($B163="","",IFERROR(INDEX(Players!$N$2:$N$301,MATCH($B163,Players!$B$2:$B$301,0)),""))</f>
        <v/>
      </c>
      <c r="G163">
        <f>IF($B163="","",IFERROR(INDEX(Players!$O$2:$O$301,MATCH($B163,Players!$B$2:$B$301,0)),""))</f>
        <v/>
      </c>
      <c r="H163">
        <f>IF($B163="","",IFERROR(INDEX(Players!$P$2:$P$301,MATCH($B163,Players!$B$2:$B$301,0)),""))</f>
        <v/>
      </c>
      <c r="I163">
        <f>IF($B163="","",IFERROR(INDEX(Players!$Q$2:$Q$301,MATCH($B163,Players!$B$2:$B$301,0)),""))</f>
        <v/>
      </c>
      <c r="J163">
        <f>IF($B163="","",IFERROR(INDEX(Players!$R$2:$R$301,MATCH($B163,Players!$B$2:$B$301,0)),""))</f>
        <v/>
      </c>
    </row>
    <row r="164">
      <c r="A164" t="n">
        <v>8</v>
      </c>
      <c r="B164">
        <f>IFERROR(INDEX(Board!$J$2:$J$17,8),"")</f>
        <v/>
      </c>
      <c r="C164">
        <f>IF($B164="","",IFERROR(INDEX(Players!$C$2:$C$301,MATCH($B164,Players!$B$2:$B$301,0)),""))</f>
        <v/>
      </c>
      <c r="D164">
        <f>IF($B164="","",IFERROR(INDEX(Players!$D$2:$D$301,MATCH($B164,Players!$B$2:$B$301,0)),""))</f>
        <v/>
      </c>
      <c r="E164">
        <f>IF($B164="","",IFERROR(INDEX(Players!$M$2:$M$301,MATCH($B164,Players!$B$2:$B$301,0)),""))</f>
        <v/>
      </c>
      <c r="F164">
        <f>IF($B164="","",IFERROR(INDEX(Players!$N$2:$N$301,MATCH($B164,Players!$B$2:$B$301,0)),""))</f>
        <v/>
      </c>
      <c r="G164">
        <f>IF($B164="","",IFERROR(INDEX(Players!$O$2:$O$301,MATCH($B164,Players!$B$2:$B$301,0)),""))</f>
        <v/>
      </c>
      <c r="H164">
        <f>IF($B164="","",IFERROR(INDEX(Players!$P$2:$P$301,MATCH($B164,Players!$B$2:$B$301,0)),""))</f>
        <v/>
      </c>
      <c r="I164">
        <f>IF($B164="","",IFERROR(INDEX(Players!$Q$2:$Q$301,MATCH($B164,Players!$B$2:$B$301,0)),""))</f>
        <v/>
      </c>
      <c r="J164">
        <f>IF($B164="","",IFERROR(INDEX(Players!$R$2:$R$301,MATCH($B164,Players!$B$2:$B$301,0)),""))</f>
        <v/>
      </c>
    </row>
    <row r="165">
      <c r="A165" t="n">
        <v>9</v>
      </c>
      <c r="B165">
        <f>IFERROR(INDEX(Board!$J$2:$J$17,9),"")</f>
        <v/>
      </c>
      <c r="C165">
        <f>IF($B165="","",IFERROR(INDEX(Players!$C$2:$C$301,MATCH($B165,Players!$B$2:$B$301,0)),""))</f>
        <v/>
      </c>
      <c r="D165">
        <f>IF($B165="","",IFERROR(INDEX(Players!$D$2:$D$301,MATCH($B165,Players!$B$2:$B$301,0)),""))</f>
        <v/>
      </c>
      <c r="E165">
        <f>IF($B165="","",IFERROR(INDEX(Players!$M$2:$M$301,MATCH($B165,Players!$B$2:$B$301,0)),""))</f>
        <v/>
      </c>
      <c r="F165">
        <f>IF($B165="","",IFERROR(INDEX(Players!$N$2:$N$301,MATCH($B165,Players!$B$2:$B$301,0)),""))</f>
        <v/>
      </c>
      <c r="G165">
        <f>IF($B165="","",IFERROR(INDEX(Players!$O$2:$O$301,MATCH($B165,Players!$B$2:$B$301,0)),""))</f>
        <v/>
      </c>
      <c r="H165">
        <f>IF($B165="","",IFERROR(INDEX(Players!$P$2:$P$301,MATCH($B165,Players!$B$2:$B$301,0)),""))</f>
        <v/>
      </c>
      <c r="I165">
        <f>IF($B165="","",IFERROR(INDEX(Players!$Q$2:$Q$301,MATCH($B165,Players!$B$2:$B$301,0)),""))</f>
        <v/>
      </c>
      <c r="J165">
        <f>IF($B165="","",IFERROR(INDEX(Players!$R$2:$R$301,MATCH($B165,Players!$B$2:$B$301,0)),""))</f>
        <v/>
      </c>
    </row>
    <row r="166">
      <c r="A166" t="n">
        <v>10</v>
      </c>
      <c r="B166">
        <f>IFERROR(INDEX(Board!$J$2:$J$17,10),"")</f>
        <v/>
      </c>
      <c r="C166">
        <f>IF($B166="","",IFERROR(INDEX(Players!$C$2:$C$301,MATCH($B166,Players!$B$2:$B$301,0)),""))</f>
        <v/>
      </c>
      <c r="D166">
        <f>IF($B166="","",IFERROR(INDEX(Players!$D$2:$D$301,MATCH($B166,Players!$B$2:$B$301,0)),""))</f>
        <v/>
      </c>
      <c r="E166">
        <f>IF($B166="","",IFERROR(INDEX(Players!$M$2:$M$301,MATCH($B166,Players!$B$2:$B$301,0)),""))</f>
        <v/>
      </c>
      <c r="F166">
        <f>IF($B166="","",IFERROR(INDEX(Players!$N$2:$N$301,MATCH($B166,Players!$B$2:$B$301,0)),""))</f>
        <v/>
      </c>
      <c r="G166">
        <f>IF($B166="","",IFERROR(INDEX(Players!$O$2:$O$301,MATCH($B166,Players!$B$2:$B$301,0)),""))</f>
        <v/>
      </c>
      <c r="H166">
        <f>IF($B166="","",IFERROR(INDEX(Players!$P$2:$P$301,MATCH($B166,Players!$B$2:$B$301,0)),""))</f>
        <v/>
      </c>
      <c r="I166">
        <f>IF($B166="","",IFERROR(INDEX(Players!$Q$2:$Q$301,MATCH($B166,Players!$B$2:$B$301,0)),""))</f>
        <v/>
      </c>
      <c r="J166">
        <f>IF($B166="","",IFERROR(INDEX(Players!$R$2:$R$301,MATCH($B166,Players!$B$2:$B$301,0)),""))</f>
        <v/>
      </c>
    </row>
    <row r="167">
      <c r="A167" t="n">
        <v>11</v>
      </c>
      <c r="B167">
        <f>IFERROR(INDEX(Board!$J$2:$J$17,11),"")</f>
        <v/>
      </c>
      <c r="C167">
        <f>IF($B167="","",IFERROR(INDEX(Players!$C$2:$C$301,MATCH($B167,Players!$B$2:$B$301,0)),""))</f>
        <v/>
      </c>
      <c r="D167">
        <f>IF($B167="","",IFERROR(INDEX(Players!$D$2:$D$301,MATCH($B167,Players!$B$2:$B$301,0)),""))</f>
        <v/>
      </c>
      <c r="E167">
        <f>IF($B167="","",IFERROR(INDEX(Players!$M$2:$M$301,MATCH($B167,Players!$B$2:$B$301,0)),""))</f>
        <v/>
      </c>
      <c r="F167">
        <f>IF($B167="","",IFERROR(INDEX(Players!$N$2:$N$301,MATCH($B167,Players!$B$2:$B$301,0)),""))</f>
        <v/>
      </c>
      <c r="G167">
        <f>IF($B167="","",IFERROR(INDEX(Players!$O$2:$O$301,MATCH($B167,Players!$B$2:$B$301,0)),""))</f>
        <v/>
      </c>
      <c r="H167">
        <f>IF($B167="","",IFERROR(INDEX(Players!$P$2:$P$301,MATCH($B167,Players!$B$2:$B$301,0)),""))</f>
        <v/>
      </c>
      <c r="I167">
        <f>IF($B167="","",IFERROR(INDEX(Players!$Q$2:$Q$301,MATCH($B167,Players!$B$2:$B$301,0)),""))</f>
        <v/>
      </c>
      <c r="J167">
        <f>IF($B167="","",IFERROR(INDEX(Players!$R$2:$R$301,MATCH($B167,Players!$B$2:$B$301,0)),""))</f>
        <v/>
      </c>
    </row>
    <row r="168">
      <c r="A168" t="n">
        <v>12</v>
      </c>
      <c r="B168">
        <f>IFERROR(INDEX(Board!$J$2:$J$17,12),"")</f>
        <v/>
      </c>
      <c r="C168">
        <f>IF($B168="","",IFERROR(INDEX(Players!$C$2:$C$301,MATCH($B168,Players!$B$2:$B$301,0)),""))</f>
        <v/>
      </c>
      <c r="D168">
        <f>IF($B168="","",IFERROR(INDEX(Players!$D$2:$D$301,MATCH($B168,Players!$B$2:$B$301,0)),""))</f>
        <v/>
      </c>
      <c r="E168">
        <f>IF($B168="","",IFERROR(INDEX(Players!$M$2:$M$301,MATCH($B168,Players!$B$2:$B$301,0)),""))</f>
        <v/>
      </c>
      <c r="F168">
        <f>IF($B168="","",IFERROR(INDEX(Players!$N$2:$N$301,MATCH($B168,Players!$B$2:$B$301,0)),""))</f>
        <v/>
      </c>
      <c r="G168">
        <f>IF($B168="","",IFERROR(INDEX(Players!$O$2:$O$301,MATCH($B168,Players!$B$2:$B$301,0)),""))</f>
        <v/>
      </c>
      <c r="H168">
        <f>IF($B168="","",IFERROR(INDEX(Players!$P$2:$P$301,MATCH($B168,Players!$B$2:$B$301,0)),""))</f>
        <v/>
      </c>
      <c r="I168">
        <f>IF($B168="","",IFERROR(INDEX(Players!$Q$2:$Q$301,MATCH($B168,Players!$B$2:$B$301,0)),""))</f>
        <v/>
      </c>
      <c r="J168">
        <f>IF($B168="","",IFERROR(INDEX(Players!$R$2:$R$301,MATCH($B168,Players!$B$2:$B$301,0)),""))</f>
        <v/>
      </c>
    </row>
    <row r="169">
      <c r="A169" t="n">
        <v>13</v>
      </c>
      <c r="B169">
        <f>IFERROR(INDEX(Board!$J$2:$J$17,13),"")</f>
        <v/>
      </c>
      <c r="C169">
        <f>IF($B169="","",IFERROR(INDEX(Players!$C$2:$C$301,MATCH($B169,Players!$B$2:$B$301,0)),""))</f>
        <v/>
      </c>
      <c r="D169">
        <f>IF($B169="","",IFERROR(INDEX(Players!$D$2:$D$301,MATCH($B169,Players!$B$2:$B$301,0)),""))</f>
        <v/>
      </c>
      <c r="E169">
        <f>IF($B169="","",IFERROR(INDEX(Players!$M$2:$M$301,MATCH($B169,Players!$B$2:$B$301,0)),""))</f>
        <v/>
      </c>
      <c r="F169">
        <f>IF($B169="","",IFERROR(INDEX(Players!$N$2:$N$301,MATCH($B169,Players!$B$2:$B$301,0)),""))</f>
        <v/>
      </c>
      <c r="G169">
        <f>IF($B169="","",IFERROR(INDEX(Players!$O$2:$O$301,MATCH($B169,Players!$B$2:$B$301,0)),""))</f>
        <v/>
      </c>
      <c r="H169">
        <f>IF($B169="","",IFERROR(INDEX(Players!$P$2:$P$301,MATCH($B169,Players!$B$2:$B$301,0)),""))</f>
        <v/>
      </c>
      <c r="I169">
        <f>IF($B169="","",IFERROR(INDEX(Players!$Q$2:$Q$301,MATCH($B169,Players!$B$2:$B$301,0)),""))</f>
        <v/>
      </c>
      <c r="J169">
        <f>IF($B169="","",IFERROR(INDEX(Players!$R$2:$R$301,MATCH($B169,Players!$B$2:$B$301,0)),""))</f>
        <v/>
      </c>
    </row>
    <row r="170">
      <c r="A170" t="n">
        <v>14</v>
      </c>
      <c r="B170">
        <f>IFERROR(INDEX(Board!$J$2:$J$17,14),"")</f>
        <v/>
      </c>
      <c r="C170">
        <f>IF($B170="","",IFERROR(INDEX(Players!$C$2:$C$301,MATCH($B170,Players!$B$2:$B$301,0)),""))</f>
        <v/>
      </c>
      <c r="D170">
        <f>IF($B170="","",IFERROR(INDEX(Players!$D$2:$D$301,MATCH($B170,Players!$B$2:$B$301,0)),""))</f>
        <v/>
      </c>
      <c r="E170">
        <f>IF($B170="","",IFERROR(INDEX(Players!$M$2:$M$301,MATCH($B170,Players!$B$2:$B$301,0)),""))</f>
        <v/>
      </c>
      <c r="F170">
        <f>IF($B170="","",IFERROR(INDEX(Players!$N$2:$N$301,MATCH($B170,Players!$B$2:$B$301,0)),""))</f>
        <v/>
      </c>
      <c r="G170">
        <f>IF($B170="","",IFERROR(INDEX(Players!$O$2:$O$301,MATCH($B170,Players!$B$2:$B$301,0)),""))</f>
        <v/>
      </c>
      <c r="H170">
        <f>IF($B170="","",IFERROR(INDEX(Players!$P$2:$P$301,MATCH($B170,Players!$B$2:$B$301,0)),""))</f>
        <v/>
      </c>
      <c r="I170">
        <f>IF($B170="","",IFERROR(INDEX(Players!$Q$2:$Q$301,MATCH($B170,Players!$B$2:$B$301,0)),""))</f>
        <v/>
      </c>
      <c r="J170">
        <f>IF($B170="","",IFERROR(INDEX(Players!$R$2:$R$301,MATCH($B170,Players!$B$2:$B$301,0)),""))</f>
        <v/>
      </c>
    </row>
    <row r="171">
      <c r="A171" t="n">
        <v>15</v>
      </c>
      <c r="B171">
        <f>IFERROR(INDEX(Board!$J$2:$J$17,15),"")</f>
        <v/>
      </c>
      <c r="C171">
        <f>IF($B171="","",IFERROR(INDEX(Players!$C$2:$C$301,MATCH($B171,Players!$B$2:$B$301,0)),""))</f>
        <v/>
      </c>
      <c r="D171">
        <f>IF($B171="","",IFERROR(INDEX(Players!$D$2:$D$301,MATCH($B171,Players!$B$2:$B$301,0)),""))</f>
        <v/>
      </c>
      <c r="E171">
        <f>IF($B171="","",IFERROR(INDEX(Players!$M$2:$M$301,MATCH($B171,Players!$B$2:$B$301,0)),""))</f>
        <v/>
      </c>
      <c r="F171">
        <f>IF($B171="","",IFERROR(INDEX(Players!$N$2:$N$301,MATCH($B171,Players!$B$2:$B$301,0)),""))</f>
        <v/>
      </c>
      <c r="G171">
        <f>IF($B171="","",IFERROR(INDEX(Players!$O$2:$O$301,MATCH($B171,Players!$B$2:$B$301,0)),""))</f>
        <v/>
      </c>
      <c r="H171">
        <f>IF($B171="","",IFERROR(INDEX(Players!$P$2:$P$301,MATCH($B171,Players!$B$2:$B$301,0)),""))</f>
        <v/>
      </c>
      <c r="I171">
        <f>IF($B171="","",IFERROR(INDEX(Players!$Q$2:$Q$301,MATCH($B171,Players!$B$2:$B$301,0)),""))</f>
        <v/>
      </c>
      <c r="J171">
        <f>IF($B171="","",IFERROR(INDEX(Players!$R$2:$R$301,MATCH($B171,Players!$B$2:$B$301,0)),""))</f>
        <v/>
      </c>
    </row>
    <row r="172">
      <c r="A172" t="n">
        <v>16</v>
      </c>
      <c r="B172">
        <f>IFERROR(INDEX(Board!$J$2:$J$17,16),"")</f>
        <v/>
      </c>
      <c r="C172">
        <f>IF($B172="","",IFERROR(INDEX(Players!$C$2:$C$301,MATCH($B172,Players!$B$2:$B$301,0)),""))</f>
        <v/>
      </c>
      <c r="D172">
        <f>IF($B172="","",IFERROR(INDEX(Players!$D$2:$D$301,MATCH($B172,Players!$B$2:$B$301,0)),""))</f>
        <v/>
      </c>
      <c r="E172">
        <f>IF($B172="","",IFERROR(INDEX(Players!$M$2:$M$301,MATCH($B172,Players!$B$2:$B$301,0)),""))</f>
        <v/>
      </c>
      <c r="F172">
        <f>IF($B172="","",IFERROR(INDEX(Players!$N$2:$N$301,MATCH($B172,Players!$B$2:$B$301,0)),""))</f>
        <v/>
      </c>
      <c r="G172">
        <f>IF($B172="","",IFERROR(INDEX(Players!$O$2:$O$301,MATCH($B172,Players!$B$2:$B$301,0)),""))</f>
        <v/>
      </c>
      <c r="H172">
        <f>IF($B172="","",IFERROR(INDEX(Players!$P$2:$P$301,MATCH($B172,Players!$B$2:$B$301,0)),""))</f>
        <v/>
      </c>
      <c r="I172">
        <f>IF($B172="","",IFERROR(INDEX(Players!$Q$2:$Q$301,MATCH($B172,Players!$B$2:$B$301,0)),""))</f>
        <v/>
      </c>
      <c r="J172">
        <f>IF($B172="","",IFERROR(INDEX(Players!$R$2:$R$301,MATCH($B172,Players!$B$2:$B$301,0)),""))</f>
        <v/>
      </c>
    </row>
    <row r="173">
      <c r="B173" s="29" t="inlineStr">
        <is>
          <t>TOTAL</t>
        </is>
      </c>
      <c r="E173" s="33">
        <f>SUM(E157:E172)</f>
        <v/>
      </c>
      <c r="F173" s="33">
        <f>SUM(F157:F172)</f>
        <v/>
      </c>
      <c r="G173" s="33">
        <f>SUM(G157:G172)</f>
        <v/>
      </c>
      <c r="H173" s="33">
        <f>SUM(H157:H172)</f>
        <v/>
      </c>
      <c r="I173" s="33">
        <f>SUM(I157:I172)</f>
        <v/>
      </c>
      <c r="J173" s="33">
        <f>SUM(J157:J172)</f>
        <v/>
      </c>
    </row>
    <row r="174">
      <c r="A174" s="34" t="inlineStr">
        <is>
          <t>Team 10</t>
        </is>
      </c>
    </row>
    <row r="175">
      <c r="A175" s="23" t="inlineStr">
        <is>
          <t>Pick</t>
        </is>
      </c>
      <c r="B175" s="23" t="inlineStr">
        <is>
          <t>Player</t>
        </is>
      </c>
      <c r="C175" s="23" t="inlineStr">
        <is>
          <t>Team</t>
        </is>
      </c>
      <c r="D175" s="23" t="inlineStr">
        <is>
          <t>Pos</t>
        </is>
      </c>
      <c r="E175" s="23" t="inlineStr">
        <is>
          <t>G</t>
        </is>
      </c>
      <c r="F175" s="23" t="inlineStr">
        <is>
          <t>A</t>
        </is>
      </c>
      <c r="G175" s="23" t="inlineStr">
        <is>
          <t>PPP</t>
        </is>
      </c>
      <c r="H175" s="23" t="inlineStr">
        <is>
          <t>SOG</t>
        </is>
      </c>
      <c r="I175" s="23" t="inlineStr">
        <is>
          <t>HIT</t>
        </is>
      </c>
      <c r="J175" s="23" t="inlineStr">
        <is>
          <t>BLK</t>
        </is>
      </c>
    </row>
    <row r="176">
      <c r="A176" t="n">
        <v>1</v>
      </c>
      <c r="B176">
        <f>IFERROR(INDEX(Board!$K$2:$K$17,1),"")</f>
        <v/>
      </c>
      <c r="C176">
        <f>IF($B176="","",IFERROR(INDEX(Players!$C$2:$C$301,MATCH($B176,Players!$B$2:$B$301,0)),""))</f>
        <v/>
      </c>
      <c r="D176">
        <f>IF($B176="","",IFERROR(INDEX(Players!$D$2:$D$301,MATCH($B176,Players!$B$2:$B$301,0)),""))</f>
        <v/>
      </c>
      <c r="E176">
        <f>IF($B176="","",IFERROR(INDEX(Players!$M$2:$M$301,MATCH($B176,Players!$B$2:$B$301,0)),""))</f>
        <v/>
      </c>
      <c r="F176">
        <f>IF($B176="","",IFERROR(INDEX(Players!$N$2:$N$301,MATCH($B176,Players!$B$2:$B$301,0)),""))</f>
        <v/>
      </c>
      <c r="G176">
        <f>IF($B176="","",IFERROR(INDEX(Players!$O$2:$O$301,MATCH($B176,Players!$B$2:$B$301,0)),""))</f>
        <v/>
      </c>
      <c r="H176">
        <f>IF($B176="","",IFERROR(INDEX(Players!$P$2:$P$301,MATCH($B176,Players!$B$2:$B$301,0)),""))</f>
        <v/>
      </c>
      <c r="I176">
        <f>IF($B176="","",IFERROR(INDEX(Players!$Q$2:$Q$301,MATCH($B176,Players!$B$2:$B$301,0)),""))</f>
        <v/>
      </c>
      <c r="J176">
        <f>IF($B176="","",IFERROR(INDEX(Players!$R$2:$R$301,MATCH($B176,Players!$B$2:$B$301,0)),""))</f>
        <v/>
      </c>
    </row>
    <row r="177">
      <c r="A177" t="n">
        <v>2</v>
      </c>
      <c r="B177">
        <f>IFERROR(INDEX(Board!$K$2:$K$17,2),"")</f>
        <v/>
      </c>
      <c r="C177">
        <f>IF($B177="","",IFERROR(INDEX(Players!$C$2:$C$301,MATCH($B177,Players!$B$2:$B$301,0)),""))</f>
        <v/>
      </c>
      <c r="D177">
        <f>IF($B177="","",IFERROR(INDEX(Players!$D$2:$D$301,MATCH($B177,Players!$B$2:$B$301,0)),""))</f>
        <v/>
      </c>
      <c r="E177">
        <f>IF($B177="","",IFERROR(INDEX(Players!$M$2:$M$301,MATCH($B177,Players!$B$2:$B$301,0)),""))</f>
        <v/>
      </c>
      <c r="F177">
        <f>IF($B177="","",IFERROR(INDEX(Players!$N$2:$N$301,MATCH($B177,Players!$B$2:$B$301,0)),""))</f>
        <v/>
      </c>
      <c r="G177">
        <f>IF($B177="","",IFERROR(INDEX(Players!$O$2:$O$301,MATCH($B177,Players!$B$2:$B$301,0)),""))</f>
        <v/>
      </c>
      <c r="H177">
        <f>IF($B177="","",IFERROR(INDEX(Players!$P$2:$P$301,MATCH($B177,Players!$B$2:$B$301,0)),""))</f>
        <v/>
      </c>
      <c r="I177">
        <f>IF($B177="","",IFERROR(INDEX(Players!$Q$2:$Q$301,MATCH($B177,Players!$B$2:$B$301,0)),""))</f>
        <v/>
      </c>
      <c r="J177">
        <f>IF($B177="","",IFERROR(INDEX(Players!$R$2:$R$301,MATCH($B177,Players!$B$2:$B$301,0)),""))</f>
        <v/>
      </c>
    </row>
    <row r="178">
      <c r="A178" t="n">
        <v>3</v>
      </c>
      <c r="B178">
        <f>IFERROR(INDEX(Board!$K$2:$K$17,3),"")</f>
        <v/>
      </c>
      <c r="C178">
        <f>IF($B178="","",IFERROR(INDEX(Players!$C$2:$C$301,MATCH($B178,Players!$B$2:$B$301,0)),""))</f>
        <v/>
      </c>
      <c r="D178">
        <f>IF($B178="","",IFERROR(INDEX(Players!$D$2:$D$301,MATCH($B178,Players!$B$2:$B$301,0)),""))</f>
        <v/>
      </c>
      <c r="E178">
        <f>IF($B178="","",IFERROR(INDEX(Players!$M$2:$M$301,MATCH($B178,Players!$B$2:$B$301,0)),""))</f>
        <v/>
      </c>
      <c r="F178">
        <f>IF($B178="","",IFERROR(INDEX(Players!$N$2:$N$301,MATCH($B178,Players!$B$2:$B$301,0)),""))</f>
        <v/>
      </c>
      <c r="G178">
        <f>IF($B178="","",IFERROR(INDEX(Players!$O$2:$O$301,MATCH($B178,Players!$B$2:$B$301,0)),""))</f>
        <v/>
      </c>
      <c r="H178">
        <f>IF($B178="","",IFERROR(INDEX(Players!$P$2:$P$301,MATCH($B178,Players!$B$2:$B$301,0)),""))</f>
        <v/>
      </c>
      <c r="I178">
        <f>IF($B178="","",IFERROR(INDEX(Players!$Q$2:$Q$301,MATCH($B178,Players!$B$2:$B$301,0)),""))</f>
        <v/>
      </c>
      <c r="J178">
        <f>IF($B178="","",IFERROR(INDEX(Players!$R$2:$R$301,MATCH($B178,Players!$B$2:$B$301,0)),""))</f>
        <v/>
      </c>
    </row>
    <row r="179">
      <c r="A179" t="n">
        <v>4</v>
      </c>
      <c r="B179">
        <f>IFERROR(INDEX(Board!$K$2:$K$17,4),"")</f>
        <v/>
      </c>
      <c r="C179">
        <f>IF($B179="","",IFERROR(INDEX(Players!$C$2:$C$301,MATCH($B179,Players!$B$2:$B$301,0)),""))</f>
        <v/>
      </c>
      <c r="D179">
        <f>IF($B179="","",IFERROR(INDEX(Players!$D$2:$D$301,MATCH($B179,Players!$B$2:$B$301,0)),""))</f>
        <v/>
      </c>
      <c r="E179">
        <f>IF($B179="","",IFERROR(INDEX(Players!$M$2:$M$301,MATCH($B179,Players!$B$2:$B$301,0)),""))</f>
        <v/>
      </c>
      <c r="F179">
        <f>IF($B179="","",IFERROR(INDEX(Players!$N$2:$N$301,MATCH($B179,Players!$B$2:$B$301,0)),""))</f>
        <v/>
      </c>
      <c r="G179">
        <f>IF($B179="","",IFERROR(INDEX(Players!$O$2:$O$301,MATCH($B179,Players!$B$2:$B$301,0)),""))</f>
        <v/>
      </c>
      <c r="H179">
        <f>IF($B179="","",IFERROR(INDEX(Players!$P$2:$P$301,MATCH($B179,Players!$B$2:$B$301,0)),""))</f>
        <v/>
      </c>
      <c r="I179">
        <f>IF($B179="","",IFERROR(INDEX(Players!$Q$2:$Q$301,MATCH($B179,Players!$B$2:$B$301,0)),""))</f>
        <v/>
      </c>
      <c r="J179">
        <f>IF($B179="","",IFERROR(INDEX(Players!$R$2:$R$301,MATCH($B179,Players!$B$2:$B$301,0)),""))</f>
        <v/>
      </c>
    </row>
    <row r="180">
      <c r="A180" t="n">
        <v>5</v>
      </c>
      <c r="B180">
        <f>IFERROR(INDEX(Board!$K$2:$K$17,5),"")</f>
        <v/>
      </c>
      <c r="C180">
        <f>IF($B180="","",IFERROR(INDEX(Players!$C$2:$C$301,MATCH($B180,Players!$B$2:$B$301,0)),""))</f>
        <v/>
      </c>
      <c r="D180">
        <f>IF($B180="","",IFERROR(INDEX(Players!$D$2:$D$301,MATCH($B180,Players!$B$2:$B$301,0)),""))</f>
        <v/>
      </c>
      <c r="E180">
        <f>IF($B180="","",IFERROR(INDEX(Players!$M$2:$M$301,MATCH($B180,Players!$B$2:$B$301,0)),""))</f>
        <v/>
      </c>
      <c r="F180">
        <f>IF($B180="","",IFERROR(INDEX(Players!$N$2:$N$301,MATCH($B180,Players!$B$2:$B$301,0)),""))</f>
        <v/>
      </c>
      <c r="G180">
        <f>IF($B180="","",IFERROR(INDEX(Players!$O$2:$O$301,MATCH($B180,Players!$B$2:$B$301,0)),""))</f>
        <v/>
      </c>
      <c r="H180">
        <f>IF($B180="","",IFERROR(INDEX(Players!$P$2:$P$301,MATCH($B180,Players!$B$2:$B$301,0)),""))</f>
        <v/>
      </c>
      <c r="I180">
        <f>IF($B180="","",IFERROR(INDEX(Players!$Q$2:$Q$301,MATCH($B180,Players!$B$2:$B$301,0)),""))</f>
        <v/>
      </c>
      <c r="J180">
        <f>IF($B180="","",IFERROR(INDEX(Players!$R$2:$R$301,MATCH($B180,Players!$B$2:$B$301,0)),""))</f>
        <v/>
      </c>
    </row>
    <row r="181">
      <c r="A181" t="n">
        <v>6</v>
      </c>
      <c r="B181">
        <f>IFERROR(INDEX(Board!$K$2:$K$17,6),"")</f>
        <v/>
      </c>
      <c r="C181">
        <f>IF($B181="","",IFERROR(INDEX(Players!$C$2:$C$301,MATCH($B181,Players!$B$2:$B$301,0)),""))</f>
        <v/>
      </c>
      <c r="D181">
        <f>IF($B181="","",IFERROR(INDEX(Players!$D$2:$D$301,MATCH($B181,Players!$B$2:$B$301,0)),""))</f>
        <v/>
      </c>
      <c r="E181">
        <f>IF($B181="","",IFERROR(INDEX(Players!$M$2:$M$301,MATCH($B181,Players!$B$2:$B$301,0)),""))</f>
        <v/>
      </c>
      <c r="F181">
        <f>IF($B181="","",IFERROR(INDEX(Players!$N$2:$N$301,MATCH($B181,Players!$B$2:$B$301,0)),""))</f>
        <v/>
      </c>
      <c r="G181">
        <f>IF($B181="","",IFERROR(INDEX(Players!$O$2:$O$301,MATCH($B181,Players!$B$2:$B$301,0)),""))</f>
        <v/>
      </c>
      <c r="H181">
        <f>IF($B181="","",IFERROR(INDEX(Players!$P$2:$P$301,MATCH($B181,Players!$B$2:$B$301,0)),""))</f>
        <v/>
      </c>
      <c r="I181">
        <f>IF($B181="","",IFERROR(INDEX(Players!$Q$2:$Q$301,MATCH($B181,Players!$B$2:$B$301,0)),""))</f>
        <v/>
      </c>
      <c r="J181">
        <f>IF($B181="","",IFERROR(INDEX(Players!$R$2:$R$301,MATCH($B181,Players!$B$2:$B$301,0)),""))</f>
        <v/>
      </c>
    </row>
    <row r="182">
      <c r="A182" t="n">
        <v>7</v>
      </c>
      <c r="B182">
        <f>IFERROR(INDEX(Board!$K$2:$K$17,7),"")</f>
        <v/>
      </c>
      <c r="C182">
        <f>IF($B182="","",IFERROR(INDEX(Players!$C$2:$C$301,MATCH($B182,Players!$B$2:$B$301,0)),""))</f>
        <v/>
      </c>
      <c r="D182">
        <f>IF($B182="","",IFERROR(INDEX(Players!$D$2:$D$301,MATCH($B182,Players!$B$2:$B$301,0)),""))</f>
        <v/>
      </c>
      <c r="E182">
        <f>IF($B182="","",IFERROR(INDEX(Players!$M$2:$M$301,MATCH($B182,Players!$B$2:$B$301,0)),""))</f>
        <v/>
      </c>
      <c r="F182">
        <f>IF($B182="","",IFERROR(INDEX(Players!$N$2:$N$301,MATCH($B182,Players!$B$2:$B$301,0)),""))</f>
        <v/>
      </c>
      <c r="G182">
        <f>IF($B182="","",IFERROR(INDEX(Players!$O$2:$O$301,MATCH($B182,Players!$B$2:$B$301,0)),""))</f>
        <v/>
      </c>
      <c r="H182">
        <f>IF($B182="","",IFERROR(INDEX(Players!$P$2:$P$301,MATCH($B182,Players!$B$2:$B$301,0)),""))</f>
        <v/>
      </c>
      <c r="I182">
        <f>IF($B182="","",IFERROR(INDEX(Players!$Q$2:$Q$301,MATCH($B182,Players!$B$2:$B$301,0)),""))</f>
        <v/>
      </c>
      <c r="J182">
        <f>IF($B182="","",IFERROR(INDEX(Players!$R$2:$R$301,MATCH($B182,Players!$B$2:$B$301,0)),""))</f>
        <v/>
      </c>
    </row>
    <row r="183">
      <c r="A183" t="n">
        <v>8</v>
      </c>
      <c r="B183">
        <f>IFERROR(INDEX(Board!$K$2:$K$17,8),"")</f>
        <v/>
      </c>
      <c r="C183">
        <f>IF($B183="","",IFERROR(INDEX(Players!$C$2:$C$301,MATCH($B183,Players!$B$2:$B$301,0)),""))</f>
        <v/>
      </c>
      <c r="D183">
        <f>IF($B183="","",IFERROR(INDEX(Players!$D$2:$D$301,MATCH($B183,Players!$B$2:$B$301,0)),""))</f>
        <v/>
      </c>
      <c r="E183">
        <f>IF($B183="","",IFERROR(INDEX(Players!$M$2:$M$301,MATCH($B183,Players!$B$2:$B$301,0)),""))</f>
        <v/>
      </c>
      <c r="F183">
        <f>IF($B183="","",IFERROR(INDEX(Players!$N$2:$N$301,MATCH($B183,Players!$B$2:$B$301,0)),""))</f>
        <v/>
      </c>
      <c r="G183">
        <f>IF($B183="","",IFERROR(INDEX(Players!$O$2:$O$301,MATCH($B183,Players!$B$2:$B$301,0)),""))</f>
        <v/>
      </c>
      <c r="H183">
        <f>IF($B183="","",IFERROR(INDEX(Players!$P$2:$P$301,MATCH($B183,Players!$B$2:$B$301,0)),""))</f>
        <v/>
      </c>
      <c r="I183">
        <f>IF($B183="","",IFERROR(INDEX(Players!$Q$2:$Q$301,MATCH($B183,Players!$B$2:$B$301,0)),""))</f>
        <v/>
      </c>
      <c r="J183">
        <f>IF($B183="","",IFERROR(INDEX(Players!$R$2:$R$301,MATCH($B183,Players!$B$2:$B$301,0)),""))</f>
        <v/>
      </c>
    </row>
    <row r="184">
      <c r="A184" t="n">
        <v>9</v>
      </c>
      <c r="B184">
        <f>IFERROR(INDEX(Board!$K$2:$K$17,9),"")</f>
        <v/>
      </c>
      <c r="C184">
        <f>IF($B184="","",IFERROR(INDEX(Players!$C$2:$C$301,MATCH($B184,Players!$B$2:$B$301,0)),""))</f>
        <v/>
      </c>
      <c r="D184">
        <f>IF($B184="","",IFERROR(INDEX(Players!$D$2:$D$301,MATCH($B184,Players!$B$2:$B$301,0)),""))</f>
        <v/>
      </c>
      <c r="E184">
        <f>IF($B184="","",IFERROR(INDEX(Players!$M$2:$M$301,MATCH($B184,Players!$B$2:$B$301,0)),""))</f>
        <v/>
      </c>
      <c r="F184">
        <f>IF($B184="","",IFERROR(INDEX(Players!$N$2:$N$301,MATCH($B184,Players!$B$2:$B$301,0)),""))</f>
        <v/>
      </c>
      <c r="G184">
        <f>IF($B184="","",IFERROR(INDEX(Players!$O$2:$O$301,MATCH($B184,Players!$B$2:$B$301,0)),""))</f>
        <v/>
      </c>
      <c r="H184">
        <f>IF($B184="","",IFERROR(INDEX(Players!$P$2:$P$301,MATCH($B184,Players!$B$2:$B$301,0)),""))</f>
        <v/>
      </c>
      <c r="I184">
        <f>IF($B184="","",IFERROR(INDEX(Players!$Q$2:$Q$301,MATCH($B184,Players!$B$2:$B$301,0)),""))</f>
        <v/>
      </c>
      <c r="J184">
        <f>IF($B184="","",IFERROR(INDEX(Players!$R$2:$R$301,MATCH($B184,Players!$B$2:$B$301,0)),""))</f>
        <v/>
      </c>
    </row>
    <row r="185">
      <c r="A185" t="n">
        <v>10</v>
      </c>
      <c r="B185">
        <f>IFERROR(INDEX(Board!$K$2:$K$17,10),"")</f>
        <v/>
      </c>
      <c r="C185">
        <f>IF($B185="","",IFERROR(INDEX(Players!$C$2:$C$301,MATCH($B185,Players!$B$2:$B$301,0)),""))</f>
        <v/>
      </c>
      <c r="D185">
        <f>IF($B185="","",IFERROR(INDEX(Players!$D$2:$D$301,MATCH($B185,Players!$B$2:$B$301,0)),""))</f>
        <v/>
      </c>
      <c r="E185">
        <f>IF($B185="","",IFERROR(INDEX(Players!$M$2:$M$301,MATCH($B185,Players!$B$2:$B$301,0)),""))</f>
        <v/>
      </c>
      <c r="F185">
        <f>IF($B185="","",IFERROR(INDEX(Players!$N$2:$N$301,MATCH($B185,Players!$B$2:$B$301,0)),""))</f>
        <v/>
      </c>
      <c r="G185">
        <f>IF($B185="","",IFERROR(INDEX(Players!$O$2:$O$301,MATCH($B185,Players!$B$2:$B$301,0)),""))</f>
        <v/>
      </c>
      <c r="H185">
        <f>IF($B185="","",IFERROR(INDEX(Players!$P$2:$P$301,MATCH($B185,Players!$B$2:$B$301,0)),""))</f>
        <v/>
      </c>
      <c r="I185">
        <f>IF($B185="","",IFERROR(INDEX(Players!$Q$2:$Q$301,MATCH($B185,Players!$B$2:$B$301,0)),""))</f>
        <v/>
      </c>
      <c r="J185">
        <f>IF($B185="","",IFERROR(INDEX(Players!$R$2:$R$301,MATCH($B185,Players!$B$2:$B$301,0)),""))</f>
        <v/>
      </c>
    </row>
    <row r="186">
      <c r="A186" t="n">
        <v>11</v>
      </c>
      <c r="B186">
        <f>IFERROR(INDEX(Board!$K$2:$K$17,11),"")</f>
        <v/>
      </c>
      <c r="C186">
        <f>IF($B186="","",IFERROR(INDEX(Players!$C$2:$C$301,MATCH($B186,Players!$B$2:$B$301,0)),""))</f>
        <v/>
      </c>
      <c r="D186">
        <f>IF($B186="","",IFERROR(INDEX(Players!$D$2:$D$301,MATCH($B186,Players!$B$2:$B$301,0)),""))</f>
        <v/>
      </c>
      <c r="E186">
        <f>IF($B186="","",IFERROR(INDEX(Players!$M$2:$M$301,MATCH($B186,Players!$B$2:$B$301,0)),""))</f>
        <v/>
      </c>
      <c r="F186">
        <f>IF($B186="","",IFERROR(INDEX(Players!$N$2:$N$301,MATCH($B186,Players!$B$2:$B$301,0)),""))</f>
        <v/>
      </c>
      <c r="G186">
        <f>IF($B186="","",IFERROR(INDEX(Players!$O$2:$O$301,MATCH($B186,Players!$B$2:$B$301,0)),""))</f>
        <v/>
      </c>
      <c r="H186">
        <f>IF($B186="","",IFERROR(INDEX(Players!$P$2:$P$301,MATCH($B186,Players!$B$2:$B$301,0)),""))</f>
        <v/>
      </c>
      <c r="I186">
        <f>IF($B186="","",IFERROR(INDEX(Players!$Q$2:$Q$301,MATCH($B186,Players!$B$2:$B$301,0)),""))</f>
        <v/>
      </c>
      <c r="J186">
        <f>IF($B186="","",IFERROR(INDEX(Players!$R$2:$R$301,MATCH($B186,Players!$B$2:$B$301,0)),""))</f>
        <v/>
      </c>
    </row>
    <row r="187">
      <c r="A187" t="n">
        <v>12</v>
      </c>
      <c r="B187">
        <f>IFERROR(INDEX(Board!$K$2:$K$17,12),"")</f>
        <v/>
      </c>
      <c r="C187">
        <f>IF($B187="","",IFERROR(INDEX(Players!$C$2:$C$301,MATCH($B187,Players!$B$2:$B$301,0)),""))</f>
        <v/>
      </c>
      <c r="D187">
        <f>IF($B187="","",IFERROR(INDEX(Players!$D$2:$D$301,MATCH($B187,Players!$B$2:$B$301,0)),""))</f>
        <v/>
      </c>
      <c r="E187">
        <f>IF($B187="","",IFERROR(INDEX(Players!$M$2:$M$301,MATCH($B187,Players!$B$2:$B$301,0)),""))</f>
        <v/>
      </c>
      <c r="F187">
        <f>IF($B187="","",IFERROR(INDEX(Players!$N$2:$N$301,MATCH($B187,Players!$B$2:$B$301,0)),""))</f>
        <v/>
      </c>
      <c r="G187">
        <f>IF($B187="","",IFERROR(INDEX(Players!$O$2:$O$301,MATCH($B187,Players!$B$2:$B$301,0)),""))</f>
        <v/>
      </c>
      <c r="H187">
        <f>IF($B187="","",IFERROR(INDEX(Players!$P$2:$P$301,MATCH($B187,Players!$B$2:$B$301,0)),""))</f>
        <v/>
      </c>
      <c r="I187">
        <f>IF($B187="","",IFERROR(INDEX(Players!$Q$2:$Q$301,MATCH($B187,Players!$B$2:$B$301,0)),""))</f>
        <v/>
      </c>
      <c r="J187">
        <f>IF($B187="","",IFERROR(INDEX(Players!$R$2:$R$301,MATCH($B187,Players!$B$2:$B$301,0)),""))</f>
        <v/>
      </c>
    </row>
    <row r="188">
      <c r="A188" t="n">
        <v>13</v>
      </c>
      <c r="B188">
        <f>IFERROR(INDEX(Board!$K$2:$K$17,13),"")</f>
        <v/>
      </c>
      <c r="C188">
        <f>IF($B188="","",IFERROR(INDEX(Players!$C$2:$C$301,MATCH($B188,Players!$B$2:$B$301,0)),""))</f>
        <v/>
      </c>
      <c r="D188">
        <f>IF($B188="","",IFERROR(INDEX(Players!$D$2:$D$301,MATCH($B188,Players!$B$2:$B$301,0)),""))</f>
        <v/>
      </c>
      <c r="E188">
        <f>IF($B188="","",IFERROR(INDEX(Players!$M$2:$M$301,MATCH($B188,Players!$B$2:$B$301,0)),""))</f>
        <v/>
      </c>
      <c r="F188">
        <f>IF($B188="","",IFERROR(INDEX(Players!$N$2:$N$301,MATCH($B188,Players!$B$2:$B$301,0)),""))</f>
        <v/>
      </c>
      <c r="G188">
        <f>IF($B188="","",IFERROR(INDEX(Players!$O$2:$O$301,MATCH($B188,Players!$B$2:$B$301,0)),""))</f>
        <v/>
      </c>
      <c r="H188">
        <f>IF($B188="","",IFERROR(INDEX(Players!$P$2:$P$301,MATCH($B188,Players!$B$2:$B$301,0)),""))</f>
        <v/>
      </c>
      <c r="I188">
        <f>IF($B188="","",IFERROR(INDEX(Players!$Q$2:$Q$301,MATCH($B188,Players!$B$2:$B$301,0)),""))</f>
        <v/>
      </c>
      <c r="J188">
        <f>IF($B188="","",IFERROR(INDEX(Players!$R$2:$R$301,MATCH($B188,Players!$B$2:$B$301,0)),""))</f>
        <v/>
      </c>
    </row>
    <row r="189">
      <c r="A189" t="n">
        <v>14</v>
      </c>
      <c r="B189">
        <f>IFERROR(INDEX(Board!$K$2:$K$17,14),"")</f>
        <v/>
      </c>
      <c r="C189">
        <f>IF($B189="","",IFERROR(INDEX(Players!$C$2:$C$301,MATCH($B189,Players!$B$2:$B$301,0)),""))</f>
        <v/>
      </c>
      <c r="D189">
        <f>IF($B189="","",IFERROR(INDEX(Players!$D$2:$D$301,MATCH($B189,Players!$B$2:$B$301,0)),""))</f>
        <v/>
      </c>
      <c r="E189">
        <f>IF($B189="","",IFERROR(INDEX(Players!$M$2:$M$301,MATCH($B189,Players!$B$2:$B$301,0)),""))</f>
        <v/>
      </c>
      <c r="F189">
        <f>IF($B189="","",IFERROR(INDEX(Players!$N$2:$N$301,MATCH($B189,Players!$B$2:$B$301,0)),""))</f>
        <v/>
      </c>
      <c r="G189">
        <f>IF($B189="","",IFERROR(INDEX(Players!$O$2:$O$301,MATCH($B189,Players!$B$2:$B$301,0)),""))</f>
        <v/>
      </c>
      <c r="H189">
        <f>IF($B189="","",IFERROR(INDEX(Players!$P$2:$P$301,MATCH($B189,Players!$B$2:$B$301,0)),""))</f>
        <v/>
      </c>
      <c r="I189">
        <f>IF($B189="","",IFERROR(INDEX(Players!$Q$2:$Q$301,MATCH($B189,Players!$B$2:$B$301,0)),""))</f>
        <v/>
      </c>
      <c r="J189">
        <f>IF($B189="","",IFERROR(INDEX(Players!$R$2:$R$301,MATCH($B189,Players!$B$2:$B$301,0)),""))</f>
        <v/>
      </c>
    </row>
    <row r="190">
      <c r="A190" t="n">
        <v>15</v>
      </c>
      <c r="B190">
        <f>IFERROR(INDEX(Board!$K$2:$K$17,15),"")</f>
        <v/>
      </c>
      <c r="C190">
        <f>IF($B190="","",IFERROR(INDEX(Players!$C$2:$C$301,MATCH($B190,Players!$B$2:$B$301,0)),""))</f>
        <v/>
      </c>
      <c r="D190">
        <f>IF($B190="","",IFERROR(INDEX(Players!$D$2:$D$301,MATCH($B190,Players!$B$2:$B$301,0)),""))</f>
        <v/>
      </c>
      <c r="E190">
        <f>IF($B190="","",IFERROR(INDEX(Players!$M$2:$M$301,MATCH($B190,Players!$B$2:$B$301,0)),""))</f>
        <v/>
      </c>
      <c r="F190">
        <f>IF($B190="","",IFERROR(INDEX(Players!$N$2:$N$301,MATCH($B190,Players!$B$2:$B$301,0)),""))</f>
        <v/>
      </c>
      <c r="G190">
        <f>IF($B190="","",IFERROR(INDEX(Players!$O$2:$O$301,MATCH($B190,Players!$B$2:$B$301,0)),""))</f>
        <v/>
      </c>
      <c r="H190">
        <f>IF($B190="","",IFERROR(INDEX(Players!$P$2:$P$301,MATCH($B190,Players!$B$2:$B$301,0)),""))</f>
        <v/>
      </c>
      <c r="I190">
        <f>IF($B190="","",IFERROR(INDEX(Players!$Q$2:$Q$301,MATCH($B190,Players!$B$2:$B$301,0)),""))</f>
        <v/>
      </c>
      <c r="J190">
        <f>IF($B190="","",IFERROR(INDEX(Players!$R$2:$R$301,MATCH($B190,Players!$B$2:$B$301,0)),""))</f>
        <v/>
      </c>
    </row>
    <row r="191">
      <c r="A191" t="n">
        <v>16</v>
      </c>
      <c r="B191">
        <f>IFERROR(INDEX(Board!$K$2:$K$17,16),"")</f>
        <v/>
      </c>
      <c r="C191">
        <f>IF($B191="","",IFERROR(INDEX(Players!$C$2:$C$301,MATCH($B191,Players!$B$2:$B$301,0)),""))</f>
        <v/>
      </c>
      <c r="D191">
        <f>IF($B191="","",IFERROR(INDEX(Players!$D$2:$D$301,MATCH($B191,Players!$B$2:$B$301,0)),""))</f>
        <v/>
      </c>
      <c r="E191">
        <f>IF($B191="","",IFERROR(INDEX(Players!$M$2:$M$301,MATCH($B191,Players!$B$2:$B$301,0)),""))</f>
        <v/>
      </c>
      <c r="F191">
        <f>IF($B191="","",IFERROR(INDEX(Players!$N$2:$N$301,MATCH($B191,Players!$B$2:$B$301,0)),""))</f>
        <v/>
      </c>
      <c r="G191">
        <f>IF($B191="","",IFERROR(INDEX(Players!$O$2:$O$301,MATCH($B191,Players!$B$2:$B$301,0)),""))</f>
        <v/>
      </c>
      <c r="H191">
        <f>IF($B191="","",IFERROR(INDEX(Players!$P$2:$P$301,MATCH($B191,Players!$B$2:$B$301,0)),""))</f>
        <v/>
      </c>
      <c r="I191">
        <f>IF($B191="","",IFERROR(INDEX(Players!$Q$2:$Q$301,MATCH($B191,Players!$B$2:$B$301,0)),""))</f>
        <v/>
      </c>
      <c r="J191">
        <f>IF($B191="","",IFERROR(INDEX(Players!$R$2:$R$301,MATCH($B191,Players!$B$2:$B$301,0)),""))</f>
        <v/>
      </c>
    </row>
    <row r="192">
      <c r="B192" s="29" t="inlineStr">
        <is>
          <t>TOTAL</t>
        </is>
      </c>
      <c r="E192" s="33">
        <f>SUM(E176:E191)</f>
        <v/>
      </c>
      <c r="F192" s="33">
        <f>SUM(F176:F191)</f>
        <v/>
      </c>
      <c r="G192" s="33">
        <f>SUM(G176:G191)</f>
        <v/>
      </c>
      <c r="H192" s="33">
        <f>SUM(H176:H191)</f>
        <v/>
      </c>
      <c r="I192" s="33">
        <f>SUM(I176:I191)</f>
        <v/>
      </c>
      <c r="J192" s="33">
        <f>SUM(J176:J191)</f>
        <v/>
      </c>
    </row>
    <row r="193">
      <c r="A193" s="34" t="inlineStr">
        <is>
          <t>Team 11</t>
        </is>
      </c>
    </row>
    <row r="194">
      <c r="A194" s="23" t="inlineStr">
        <is>
          <t>Pick</t>
        </is>
      </c>
      <c r="B194" s="23" t="inlineStr">
        <is>
          <t>Player</t>
        </is>
      </c>
      <c r="C194" s="23" t="inlineStr">
        <is>
          <t>Team</t>
        </is>
      </c>
      <c r="D194" s="23" t="inlineStr">
        <is>
          <t>Pos</t>
        </is>
      </c>
      <c r="E194" s="23" t="inlineStr">
        <is>
          <t>G</t>
        </is>
      </c>
      <c r="F194" s="23" t="inlineStr">
        <is>
          <t>A</t>
        </is>
      </c>
      <c r="G194" s="23" t="inlineStr">
        <is>
          <t>PPP</t>
        </is>
      </c>
      <c r="H194" s="23" t="inlineStr">
        <is>
          <t>SOG</t>
        </is>
      </c>
      <c r="I194" s="23" t="inlineStr">
        <is>
          <t>HIT</t>
        </is>
      </c>
      <c r="J194" s="23" t="inlineStr">
        <is>
          <t>BLK</t>
        </is>
      </c>
    </row>
    <row r="195">
      <c r="A195" t="n">
        <v>1</v>
      </c>
      <c r="B195">
        <f>IFERROR(INDEX(Board!$L$2:$L$17,1),"")</f>
        <v/>
      </c>
      <c r="C195">
        <f>IF($B195="","",IFERROR(INDEX(Players!$C$2:$C$301,MATCH($B195,Players!$B$2:$B$301,0)),""))</f>
        <v/>
      </c>
      <c r="D195">
        <f>IF($B195="","",IFERROR(INDEX(Players!$D$2:$D$301,MATCH($B195,Players!$B$2:$B$301,0)),""))</f>
        <v/>
      </c>
      <c r="E195">
        <f>IF($B195="","",IFERROR(INDEX(Players!$M$2:$M$301,MATCH($B195,Players!$B$2:$B$301,0)),""))</f>
        <v/>
      </c>
      <c r="F195">
        <f>IF($B195="","",IFERROR(INDEX(Players!$N$2:$N$301,MATCH($B195,Players!$B$2:$B$301,0)),""))</f>
        <v/>
      </c>
      <c r="G195">
        <f>IF($B195="","",IFERROR(INDEX(Players!$O$2:$O$301,MATCH($B195,Players!$B$2:$B$301,0)),""))</f>
        <v/>
      </c>
      <c r="H195">
        <f>IF($B195="","",IFERROR(INDEX(Players!$P$2:$P$301,MATCH($B195,Players!$B$2:$B$301,0)),""))</f>
        <v/>
      </c>
      <c r="I195">
        <f>IF($B195="","",IFERROR(INDEX(Players!$Q$2:$Q$301,MATCH($B195,Players!$B$2:$B$301,0)),""))</f>
        <v/>
      </c>
      <c r="J195">
        <f>IF($B195="","",IFERROR(INDEX(Players!$R$2:$R$301,MATCH($B195,Players!$B$2:$B$301,0)),""))</f>
        <v/>
      </c>
    </row>
    <row r="196">
      <c r="A196" t="n">
        <v>2</v>
      </c>
      <c r="B196">
        <f>IFERROR(INDEX(Board!$L$2:$L$17,2),"")</f>
        <v/>
      </c>
      <c r="C196">
        <f>IF($B196="","",IFERROR(INDEX(Players!$C$2:$C$301,MATCH($B196,Players!$B$2:$B$301,0)),""))</f>
        <v/>
      </c>
      <c r="D196">
        <f>IF($B196="","",IFERROR(INDEX(Players!$D$2:$D$301,MATCH($B196,Players!$B$2:$B$301,0)),""))</f>
        <v/>
      </c>
      <c r="E196">
        <f>IF($B196="","",IFERROR(INDEX(Players!$M$2:$M$301,MATCH($B196,Players!$B$2:$B$301,0)),""))</f>
        <v/>
      </c>
      <c r="F196">
        <f>IF($B196="","",IFERROR(INDEX(Players!$N$2:$N$301,MATCH($B196,Players!$B$2:$B$301,0)),""))</f>
        <v/>
      </c>
      <c r="G196">
        <f>IF($B196="","",IFERROR(INDEX(Players!$O$2:$O$301,MATCH($B196,Players!$B$2:$B$301,0)),""))</f>
        <v/>
      </c>
      <c r="H196">
        <f>IF($B196="","",IFERROR(INDEX(Players!$P$2:$P$301,MATCH($B196,Players!$B$2:$B$301,0)),""))</f>
        <v/>
      </c>
      <c r="I196">
        <f>IF($B196="","",IFERROR(INDEX(Players!$Q$2:$Q$301,MATCH($B196,Players!$B$2:$B$301,0)),""))</f>
        <v/>
      </c>
      <c r="J196">
        <f>IF($B196="","",IFERROR(INDEX(Players!$R$2:$R$301,MATCH($B196,Players!$B$2:$B$301,0)),""))</f>
        <v/>
      </c>
    </row>
    <row r="197">
      <c r="A197" t="n">
        <v>3</v>
      </c>
      <c r="B197">
        <f>IFERROR(INDEX(Board!$L$2:$L$17,3),"")</f>
        <v/>
      </c>
      <c r="C197">
        <f>IF($B197="","",IFERROR(INDEX(Players!$C$2:$C$301,MATCH($B197,Players!$B$2:$B$301,0)),""))</f>
        <v/>
      </c>
      <c r="D197">
        <f>IF($B197="","",IFERROR(INDEX(Players!$D$2:$D$301,MATCH($B197,Players!$B$2:$B$301,0)),""))</f>
        <v/>
      </c>
      <c r="E197">
        <f>IF($B197="","",IFERROR(INDEX(Players!$M$2:$M$301,MATCH($B197,Players!$B$2:$B$301,0)),""))</f>
        <v/>
      </c>
      <c r="F197">
        <f>IF($B197="","",IFERROR(INDEX(Players!$N$2:$N$301,MATCH($B197,Players!$B$2:$B$301,0)),""))</f>
        <v/>
      </c>
      <c r="G197">
        <f>IF($B197="","",IFERROR(INDEX(Players!$O$2:$O$301,MATCH($B197,Players!$B$2:$B$301,0)),""))</f>
        <v/>
      </c>
      <c r="H197">
        <f>IF($B197="","",IFERROR(INDEX(Players!$P$2:$P$301,MATCH($B197,Players!$B$2:$B$301,0)),""))</f>
        <v/>
      </c>
      <c r="I197">
        <f>IF($B197="","",IFERROR(INDEX(Players!$Q$2:$Q$301,MATCH($B197,Players!$B$2:$B$301,0)),""))</f>
        <v/>
      </c>
      <c r="J197">
        <f>IF($B197="","",IFERROR(INDEX(Players!$R$2:$R$301,MATCH($B197,Players!$B$2:$B$301,0)),""))</f>
        <v/>
      </c>
    </row>
    <row r="198">
      <c r="A198" t="n">
        <v>4</v>
      </c>
      <c r="B198">
        <f>IFERROR(INDEX(Board!$L$2:$L$17,4),"")</f>
        <v/>
      </c>
      <c r="C198">
        <f>IF($B198="","",IFERROR(INDEX(Players!$C$2:$C$301,MATCH($B198,Players!$B$2:$B$301,0)),""))</f>
        <v/>
      </c>
      <c r="D198">
        <f>IF($B198="","",IFERROR(INDEX(Players!$D$2:$D$301,MATCH($B198,Players!$B$2:$B$301,0)),""))</f>
        <v/>
      </c>
      <c r="E198">
        <f>IF($B198="","",IFERROR(INDEX(Players!$M$2:$M$301,MATCH($B198,Players!$B$2:$B$301,0)),""))</f>
        <v/>
      </c>
      <c r="F198">
        <f>IF($B198="","",IFERROR(INDEX(Players!$N$2:$N$301,MATCH($B198,Players!$B$2:$B$301,0)),""))</f>
        <v/>
      </c>
      <c r="G198">
        <f>IF($B198="","",IFERROR(INDEX(Players!$O$2:$O$301,MATCH($B198,Players!$B$2:$B$301,0)),""))</f>
        <v/>
      </c>
      <c r="H198">
        <f>IF($B198="","",IFERROR(INDEX(Players!$P$2:$P$301,MATCH($B198,Players!$B$2:$B$301,0)),""))</f>
        <v/>
      </c>
      <c r="I198">
        <f>IF($B198="","",IFERROR(INDEX(Players!$Q$2:$Q$301,MATCH($B198,Players!$B$2:$B$301,0)),""))</f>
        <v/>
      </c>
      <c r="J198">
        <f>IF($B198="","",IFERROR(INDEX(Players!$R$2:$R$301,MATCH($B198,Players!$B$2:$B$301,0)),""))</f>
        <v/>
      </c>
    </row>
    <row r="199">
      <c r="A199" t="n">
        <v>5</v>
      </c>
      <c r="B199">
        <f>IFERROR(INDEX(Board!$L$2:$L$17,5),"")</f>
        <v/>
      </c>
      <c r="C199">
        <f>IF($B199="","",IFERROR(INDEX(Players!$C$2:$C$301,MATCH($B199,Players!$B$2:$B$301,0)),""))</f>
        <v/>
      </c>
      <c r="D199">
        <f>IF($B199="","",IFERROR(INDEX(Players!$D$2:$D$301,MATCH($B199,Players!$B$2:$B$301,0)),""))</f>
        <v/>
      </c>
      <c r="E199">
        <f>IF($B199="","",IFERROR(INDEX(Players!$M$2:$M$301,MATCH($B199,Players!$B$2:$B$301,0)),""))</f>
        <v/>
      </c>
      <c r="F199">
        <f>IF($B199="","",IFERROR(INDEX(Players!$N$2:$N$301,MATCH($B199,Players!$B$2:$B$301,0)),""))</f>
        <v/>
      </c>
      <c r="G199">
        <f>IF($B199="","",IFERROR(INDEX(Players!$O$2:$O$301,MATCH($B199,Players!$B$2:$B$301,0)),""))</f>
        <v/>
      </c>
      <c r="H199">
        <f>IF($B199="","",IFERROR(INDEX(Players!$P$2:$P$301,MATCH($B199,Players!$B$2:$B$301,0)),""))</f>
        <v/>
      </c>
      <c r="I199">
        <f>IF($B199="","",IFERROR(INDEX(Players!$Q$2:$Q$301,MATCH($B199,Players!$B$2:$B$301,0)),""))</f>
        <v/>
      </c>
      <c r="J199">
        <f>IF($B199="","",IFERROR(INDEX(Players!$R$2:$R$301,MATCH($B199,Players!$B$2:$B$301,0)),""))</f>
        <v/>
      </c>
    </row>
    <row r="200">
      <c r="A200" t="n">
        <v>6</v>
      </c>
      <c r="B200">
        <f>IFERROR(INDEX(Board!$L$2:$L$17,6),"")</f>
        <v/>
      </c>
      <c r="C200">
        <f>IF($B200="","",IFERROR(INDEX(Players!$C$2:$C$301,MATCH($B200,Players!$B$2:$B$301,0)),""))</f>
        <v/>
      </c>
      <c r="D200">
        <f>IF($B200="","",IFERROR(INDEX(Players!$D$2:$D$301,MATCH($B200,Players!$B$2:$B$301,0)),""))</f>
        <v/>
      </c>
      <c r="E200">
        <f>IF($B200="","",IFERROR(INDEX(Players!$M$2:$M$301,MATCH($B200,Players!$B$2:$B$301,0)),""))</f>
        <v/>
      </c>
      <c r="F200">
        <f>IF($B200="","",IFERROR(INDEX(Players!$N$2:$N$301,MATCH($B200,Players!$B$2:$B$301,0)),""))</f>
        <v/>
      </c>
      <c r="G200">
        <f>IF($B200="","",IFERROR(INDEX(Players!$O$2:$O$301,MATCH($B200,Players!$B$2:$B$301,0)),""))</f>
        <v/>
      </c>
      <c r="H200">
        <f>IF($B200="","",IFERROR(INDEX(Players!$P$2:$P$301,MATCH($B200,Players!$B$2:$B$301,0)),""))</f>
        <v/>
      </c>
      <c r="I200">
        <f>IF($B200="","",IFERROR(INDEX(Players!$Q$2:$Q$301,MATCH($B200,Players!$B$2:$B$301,0)),""))</f>
        <v/>
      </c>
      <c r="J200">
        <f>IF($B200="","",IFERROR(INDEX(Players!$R$2:$R$301,MATCH($B200,Players!$B$2:$B$301,0)),""))</f>
        <v/>
      </c>
    </row>
    <row r="201">
      <c r="A201" t="n">
        <v>7</v>
      </c>
      <c r="B201">
        <f>IFERROR(INDEX(Board!$L$2:$L$17,7),"")</f>
        <v/>
      </c>
      <c r="C201">
        <f>IF($B201="","",IFERROR(INDEX(Players!$C$2:$C$301,MATCH($B201,Players!$B$2:$B$301,0)),""))</f>
        <v/>
      </c>
      <c r="D201">
        <f>IF($B201="","",IFERROR(INDEX(Players!$D$2:$D$301,MATCH($B201,Players!$B$2:$B$301,0)),""))</f>
        <v/>
      </c>
      <c r="E201">
        <f>IF($B201="","",IFERROR(INDEX(Players!$M$2:$M$301,MATCH($B201,Players!$B$2:$B$301,0)),""))</f>
        <v/>
      </c>
      <c r="F201">
        <f>IF($B201="","",IFERROR(INDEX(Players!$N$2:$N$301,MATCH($B201,Players!$B$2:$B$301,0)),""))</f>
        <v/>
      </c>
      <c r="G201">
        <f>IF($B201="","",IFERROR(INDEX(Players!$O$2:$O$301,MATCH($B201,Players!$B$2:$B$301,0)),""))</f>
        <v/>
      </c>
      <c r="H201">
        <f>IF($B201="","",IFERROR(INDEX(Players!$P$2:$P$301,MATCH($B201,Players!$B$2:$B$301,0)),""))</f>
        <v/>
      </c>
      <c r="I201">
        <f>IF($B201="","",IFERROR(INDEX(Players!$Q$2:$Q$301,MATCH($B201,Players!$B$2:$B$301,0)),""))</f>
        <v/>
      </c>
      <c r="J201">
        <f>IF($B201="","",IFERROR(INDEX(Players!$R$2:$R$301,MATCH($B201,Players!$B$2:$B$301,0)),""))</f>
        <v/>
      </c>
    </row>
    <row r="202">
      <c r="A202" t="n">
        <v>8</v>
      </c>
      <c r="B202">
        <f>IFERROR(INDEX(Board!$L$2:$L$17,8),"")</f>
        <v/>
      </c>
      <c r="C202">
        <f>IF($B202="","",IFERROR(INDEX(Players!$C$2:$C$301,MATCH($B202,Players!$B$2:$B$301,0)),""))</f>
        <v/>
      </c>
      <c r="D202">
        <f>IF($B202="","",IFERROR(INDEX(Players!$D$2:$D$301,MATCH($B202,Players!$B$2:$B$301,0)),""))</f>
        <v/>
      </c>
      <c r="E202">
        <f>IF($B202="","",IFERROR(INDEX(Players!$M$2:$M$301,MATCH($B202,Players!$B$2:$B$301,0)),""))</f>
        <v/>
      </c>
      <c r="F202">
        <f>IF($B202="","",IFERROR(INDEX(Players!$N$2:$N$301,MATCH($B202,Players!$B$2:$B$301,0)),""))</f>
        <v/>
      </c>
      <c r="G202">
        <f>IF($B202="","",IFERROR(INDEX(Players!$O$2:$O$301,MATCH($B202,Players!$B$2:$B$301,0)),""))</f>
        <v/>
      </c>
      <c r="H202">
        <f>IF($B202="","",IFERROR(INDEX(Players!$P$2:$P$301,MATCH($B202,Players!$B$2:$B$301,0)),""))</f>
        <v/>
      </c>
      <c r="I202">
        <f>IF($B202="","",IFERROR(INDEX(Players!$Q$2:$Q$301,MATCH($B202,Players!$B$2:$B$301,0)),""))</f>
        <v/>
      </c>
      <c r="J202">
        <f>IF($B202="","",IFERROR(INDEX(Players!$R$2:$R$301,MATCH($B202,Players!$B$2:$B$301,0)),""))</f>
        <v/>
      </c>
    </row>
    <row r="203">
      <c r="A203" t="n">
        <v>9</v>
      </c>
      <c r="B203">
        <f>IFERROR(INDEX(Board!$L$2:$L$17,9),"")</f>
        <v/>
      </c>
      <c r="C203">
        <f>IF($B203="","",IFERROR(INDEX(Players!$C$2:$C$301,MATCH($B203,Players!$B$2:$B$301,0)),""))</f>
        <v/>
      </c>
      <c r="D203">
        <f>IF($B203="","",IFERROR(INDEX(Players!$D$2:$D$301,MATCH($B203,Players!$B$2:$B$301,0)),""))</f>
        <v/>
      </c>
      <c r="E203">
        <f>IF($B203="","",IFERROR(INDEX(Players!$M$2:$M$301,MATCH($B203,Players!$B$2:$B$301,0)),""))</f>
        <v/>
      </c>
      <c r="F203">
        <f>IF($B203="","",IFERROR(INDEX(Players!$N$2:$N$301,MATCH($B203,Players!$B$2:$B$301,0)),""))</f>
        <v/>
      </c>
      <c r="G203">
        <f>IF($B203="","",IFERROR(INDEX(Players!$O$2:$O$301,MATCH($B203,Players!$B$2:$B$301,0)),""))</f>
        <v/>
      </c>
      <c r="H203">
        <f>IF($B203="","",IFERROR(INDEX(Players!$P$2:$P$301,MATCH($B203,Players!$B$2:$B$301,0)),""))</f>
        <v/>
      </c>
      <c r="I203">
        <f>IF($B203="","",IFERROR(INDEX(Players!$Q$2:$Q$301,MATCH($B203,Players!$B$2:$B$301,0)),""))</f>
        <v/>
      </c>
      <c r="J203">
        <f>IF($B203="","",IFERROR(INDEX(Players!$R$2:$R$301,MATCH($B203,Players!$B$2:$B$301,0)),""))</f>
        <v/>
      </c>
    </row>
    <row r="204">
      <c r="A204" t="n">
        <v>10</v>
      </c>
      <c r="B204">
        <f>IFERROR(INDEX(Board!$L$2:$L$17,10),"")</f>
        <v/>
      </c>
      <c r="C204">
        <f>IF($B204="","",IFERROR(INDEX(Players!$C$2:$C$301,MATCH($B204,Players!$B$2:$B$301,0)),""))</f>
        <v/>
      </c>
      <c r="D204">
        <f>IF($B204="","",IFERROR(INDEX(Players!$D$2:$D$301,MATCH($B204,Players!$B$2:$B$301,0)),""))</f>
        <v/>
      </c>
      <c r="E204">
        <f>IF($B204="","",IFERROR(INDEX(Players!$M$2:$M$301,MATCH($B204,Players!$B$2:$B$301,0)),""))</f>
        <v/>
      </c>
      <c r="F204">
        <f>IF($B204="","",IFERROR(INDEX(Players!$N$2:$N$301,MATCH($B204,Players!$B$2:$B$301,0)),""))</f>
        <v/>
      </c>
      <c r="G204">
        <f>IF($B204="","",IFERROR(INDEX(Players!$O$2:$O$301,MATCH($B204,Players!$B$2:$B$301,0)),""))</f>
        <v/>
      </c>
      <c r="H204">
        <f>IF($B204="","",IFERROR(INDEX(Players!$P$2:$P$301,MATCH($B204,Players!$B$2:$B$301,0)),""))</f>
        <v/>
      </c>
      <c r="I204">
        <f>IF($B204="","",IFERROR(INDEX(Players!$Q$2:$Q$301,MATCH($B204,Players!$B$2:$B$301,0)),""))</f>
        <v/>
      </c>
      <c r="J204">
        <f>IF($B204="","",IFERROR(INDEX(Players!$R$2:$R$301,MATCH($B204,Players!$B$2:$B$301,0)),""))</f>
        <v/>
      </c>
    </row>
    <row r="205">
      <c r="A205" t="n">
        <v>11</v>
      </c>
      <c r="B205">
        <f>IFERROR(INDEX(Board!$L$2:$L$17,11),"")</f>
        <v/>
      </c>
      <c r="C205">
        <f>IF($B205="","",IFERROR(INDEX(Players!$C$2:$C$301,MATCH($B205,Players!$B$2:$B$301,0)),""))</f>
        <v/>
      </c>
      <c r="D205">
        <f>IF($B205="","",IFERROR(INDEX(Players!$D$2:$D$301,MATCH($B205,Players!$B$2:$B$301,0)),""))</f>
        <v/>
      </c>
      <c r="E205">
        <f>IF($B205="","",IFERROR(INDEX(Players!$M$2:$M$301,MATCH($B205,Players!$B$2:$B$301,0)),""))</f>
        <v/>
      </c>
      <c r="F205">
        <f>IF($B205="","",IFERROR(INDEX(Players!$N$2:$N$301,MATCH($B205,Players!$B$2:$B$301,0)),""))</f>
        <v/>
      </c>
      <c r="G205">
        <f>IF($B205="","",IFERROR(INDEX(Players!$O$2:$O$301,MATCH($B205,Players!$B$2:$B$301,0)),""))</f>
        <v/>
      </c>
      <c r="H205">
        <f>IF($B205="","",IFERROR(INDEX(Players!$P$2:$P$301,MATCH($B205,Players!$B$2:$B$301,0)),""))</f>
        <v/>
      </c>
      <c r="I205">
        <f>IF($B205="","",IFERROR(INDEX(Players!$Q$2:$Q$301,MATCH($B205,Players!$B$2:$B$301,0)),""))</f>
        <v/>
      </c>
      <c r="J205">
        <f>IF($B205="","",IFERROR(INDEX(Players!$R$2:$R$301,MATCH($B205,Players!$B$2:$B$301,0)),""))</f>
        <v/>
      </c>
    </row>
    <row r="206">
      <c r="A206" t="n">
        <v>12</v>
      </c>
      <c r="B206">
        <f>IFERROR(INDEX(Board!$L$2:$L$17,12),"")</f>
        <v/>
      </c>
      <c r="C206">
        <f>IF($B206="","",IFERROR(INDEX(Players!$C$2:$C$301,MATCH($B206,Players!$B$2:$B$301,0)),""))</f>
        <v/>
      </c>
      <c r="D206">
        <f>IF($B206="","",IFERROR(INDEX(Players!$D$2:$D$301,MATCH($B206,Players!$B$2:$B$301,0)),""))</f>
        <v/>
      </c>
      <c r="E206">
        <f>IF($B206="","",IFERROR(INDEX(Players!$M$2:$M$301,MATCH($B206,Players!$B$2:$B$301,0)),""))</f>
        <v/>
      </c>
      <c r="F206">
        <f>IF($B206="","",IFERROR(INDEX(Players!$N$2:$N$301,MATCH($B206,Players!$B$2:$B$301,0)),""))</f>
        <v/>
      </c>
      <c r="G206">
        <f>IF($B206="","",IFERROR(INDEX(Players!$O$2:$O$301,MATCH($B206,Players!$B$2:$B$301,0)),""))</f>
        <v/>
      </c>
      <c r="H206">
        <f>IF($B206="","",IFERROR(INDEX(Players!$P$2:$P$301,MATCH($B206,Players!$B$2:$B$301,0)),""))</f>
        <v/>
      </c>
      <c r="I206">
        <f>IF($B206="","",IFERROR(INDEX(Players!$Q$2:$Q$301,MATCH($B206,Players!$B$2:$B$301,0)),""))</f>
        <v/>
      </c>
      <c r="J206">
        <f>IF($B206="","",IFERROR(INDEX(Players!$R$2:$R$301,MATCH($B206,Players!$B$2:$B$301,0)),""))</f>
        <v/>
      </c>
    </row>
    <row r="207">
      <c r="A207" t="n">
        <v>13</v>
      </c>
      <c r="B207">
        <f>IFERROR(INDEX(Board!$L$2:$L$17,13),"")</f>
        <v/>
      </c>
      <c r="C207">
        <f>IF($B207="","",IFERROR(INDEX(Players!$C$2:$C$301,MATCH($B207,Players!$B$2:$B$301,0)),""))</f>
        <v/>
      </c>
      <c r="D207">
        <f>IF($B207="","",IFERROR(INDEX(Players!$D$2:$D$301,MATCH($B207,Players!$B$2:$B$301,0)),""))</f>
        <v/>
      </c>
      <c r="E207">
        <f>IF($B207="","",IFERROR(INDEX(Players!$M$2:$M$301,MATCH($B207,Players!$B$2:$B$301,0)),""))</f>
        <v/>
      </c>
      <c r="F207">
        <f>IF($B207="","",IFERROR(INDEX(Players!$N$2:$N$301,MATCH($B207,Players!$B$2:$B$301,0)),""))</f>
        <v/>
      </c>
      <c r="G207">
        <f>IF($B207="","",IFERROR(INDEX(Players!$O$2:$O$301,MATCH($B207,Players!$B$2:$B$301,0)),""))</f>
        <v/>
      </c>
      <c r="H207">
        <f>IF($B207="","",IFERROR(INDEX(Players!$P$2:$P$301,MATCH($B207,Players!$B$2:$B$301,0)),""))</f>
        <v/>
      </c>
      <c r="I207">
        <f>IF($B207="","",IFERROR(INDEX(Players!$Q$2:$Q$301,MATCH($B207,Players!$B$2:$B$301,0)),""))</f>
        <v/>
      </c>
      <c r="J207">
        <f>IF($B207="","",IFERROR(INDEX(Players!$R$2:$R$301,MATCH($B207,Players!$B$2:$B$301,0)),""))</f>
        <v/>
      </c>
    </row>
    <row r="208">
      <c r="A208" t="n">
        <v>14</v>
      </c>
      <c r="B208">
        <f>IFERROR(INDEX(Board!$L$2:$L$17,14),"")</f>
        <v/>
      </c>
      <c r="C208">
        <f>IF($B208="","",IFERROR(INDEX(Players!$C$2:$C$301,MATCH($B208,Players!$B$2:$B$301,0)),""))</f>
        <v/>
      </c>
      <c r="D208">
        <f>IF($B208="","",IFERROR(INDEX(Players!$D$2:$D$301,MATCH($B208,Players!$B$2:$B$301,0)),""))</f>
        <v/>
      </c>
      <c r="E208">
        <f>IF($B208="","",IFERROR(INDEX(Players!$M$2:$M$301,MATCH($B208,Players!$B$2:$B$301,0)),""))</f>
        <v/>
      </c>
      <c r="F208">
        <f>IF($B208="","",IFERROR(INDEX(Players!$N$2:$N$301,MATCH($B208,Players!$B$2:$B$301,0)),""))</f>
        <v/>
      </c>
      <c r="G208">
        <f>IF($B208="","",IFERROR(INDEX(Players!$O$2:$O$301,MATCH($B208,Players!$B$2:$B$301,0)),""))</f>
        <v/>
      </c>
      <c r="H208">
        <f>IF($B208="","",IFERROR(INDEX(Players!$P$2:$P$301,MATCH($B208,Players!$B$2:$B$301,0)),""))</f>
        <v/>
      </c>
      <c r="I208">
        <f>IF($B208="","",IFERROR(INDEX(Players!$Q$2:$Q$301,MATCH($B208,Players!$B$2:$B$301,0)),""))</f>
        <v/>
      </c>
      <c r="J208">
        <f>IF($B208="","",IFERROR(INDEX(Players!$R$2:$R$301,MATCH($B208,Players!$B$2:$B$301,0)),""))</f>
        <v/>
      </c>
    </row>
    <row r="209">
      <c r="A209" t="n">
        <v>15</v>
      </c>
      <c r="B209">
        <f>IFERROR(INDEX(Board!$L$2:$L$17,15),"")</f>
        <v/>
      </c>
      <c r="C209">
        <f>IF($B209="","",IFERROR(INDEX(Players!$C$2:$C$301,MATCH($B209,Players!$B$2:$B$301,0)),""))</f>
        <v/>
      </c>
      <c r="D209">
        <f>IF($B209="","",IFERROR(INDEX(Players!$D$2:$D$301,MATCH($B209,Players!$B$2:$B$301,0)),""))</f>
        <v/>
      </c>
      <c r="E209">
        <f>IF($B209="","",IFERROR(INDEX(Players!$M$2:$M$301,MATCH($B209,Players!$B$2:$B$301,0)),""))</f>
        <v/>
      </c>
      <c r="F209">
        <f>IF($B209="","",IFERROR(INDEX(Players!$N$2:$N$301,MATCH($B209,Players!$B$2:$B$301,0)),""))</f>
        <v/>
      </c>
      <c r="G209">
        <f>IF($B209="","",IFERROR(INDEX(Players!$O$2:$O$301,MATCH($B209,Players!$B$2:$B$301,0)),""))</f>
        <v/>
      </c>
      <c r="H209">
        <f>IF($B209="","",IFERROR(INDEX(Players!$P$2:$P$301,MATCH($B209,Players!$B$2:$B$301,0)),""))</f>
        <v/>
      </c>
      <c r="I209">
        <f>IF($B209="","",IFERROR(INDEX(Players!$Q$2:$Q$301,MATCH($B209,Players!$B$2:$B$301,0)),""))</f>
        <v/>
      </c>
      <c r="J209">
        <f>IF($B209="","",IFERROR(INDEX(Players!$R$2:$R$301,MATCH($B209,Players!$B$2:$B$301,0)),""))</f>
        <v/>
      </c>
    </row>
    <row r="210">
      <c r="A210" t="n">
        <v>16</v>
      </c>
      <c r="B210">
        <f>IFERROR(INDEX(Board!$L$2:$L$17,16),"")</f>
        <v/>
      </c>
      <c r="C210">
        <f>IF($B210="","",IFERROR(INDEX(Players!$C$2:$C$301,MATCH($B210,Players!$B$2:$B$301,0)),""))</f>
        <v/>
      </c>
      <c r="D210">
        <f>IF($B210="","",IFERROR(INDEX(Players!$D$2:$D$301,MATCH($B210,Players!$B$2:$B$301,0)),""))</f>
        <v/>
      </c>
      <c r="E210">
        <f>IF($B210="","",IFERROR(INDEX(Players!$M$2:$M$301,MATCH($B210,Players!$B$2:$B$301,0)),""))</f>
        <v/>
      </c>
      <c r="F210">
        <f>IF($B210="","",IFERROR(INDEX(Players!$N$2:$N$301,MATCH($B210,Players!$B$2:$B$301,0)),""))</f>
        <v/>
      </c>
      <c r="G210">
        <f>IF($B210="","",IFERROR(INDEX(Players!$O$2:$O$301,MATCH($B210,Players!$B$2:$B$301,0)),""))</f>
        <v/>
      </c>
      <c r="H210">
        <f>IF($B210="","",IFERROR(INDEX(Players!$P$2:$P$301,MATCH($B210,Players!$B$2:$B$301,0)),""))</f>
        <v/>
      </c>
      <c r="I210">
        <f>IF($B210="","",IFERROR(INDEX(Players!$Q$2:$Q$301,MATCH($B210,Players!$B$2:$B$301,0)),""))</f>
        <v/>
      </c>
      <c r="J210">
        <f>IF($B210="","",IFERROR(INDEX(Players!$R$2:$R$301,MATCH($B210,Players!$B$2:$B$301,0)),""))</f>
        <v/>
      </c>
    </row>
    <row r="211">
      <c r="B211" s="29" t="inlineStr">
        <is>
          <t>TOTAL</t>
        </is>
      </c>
      <c r="E211" s="33">
        <f>SUM(E195:E210)</f>
        <v/>
      </c>
      <c r="F211" s="33">
        <f>SUM(F195:F210)</f>
        <v/>
      </c>
      <c r="G211" s="33">
        <f>SUM(G195:G210)</f>
        <v/>
      </c>
      <c r="H211" s="33">
        <f>SUM(H195:H210)</f>
        <v/>
      </c>
      <c r="I211" s="33">
        <f>SUM(I195:I210)</f>
        <v/>
      </c>
      <c r="J211" s="33">
        <f>SUM(J195:J210)</f>
        <v/>
      </c>
    </row>
    <row r="212">
      <c r="A212" s="34" t="inlineStr">
        <is>
          <t>Team 12</t>
        </is>
      </c>
    </row>
    <row r="213">
      <c r="A213" s="23" t="inlineStr">
        <is>
          <t>Pick</t>
        </is>
      </c>
      <c r="B213" s="23" t="inlineStr">
        <is>
          <t>Player</t>
        </is>
      </c>
      <c r="C213" s="23" t="inlineStr">
        <is>
          <t>Team</t>
        </is>
      </c>
      <c r="D213" s="23" t="inlineStr">
        <is>
          <t>Pos</t>
        </is>
      </c>
      <c r="E213" s="23" t="inlineStr">
        <is>
          <t>G</t>
        </is>
      </c>
      <c r="F213" s="23" t="inlineStr">
        <is>
          <t>A</t>
        </is>
      </c>
      <c r="G213" s="23" t="inlineStr">
        <is>
          <t>PPP</t>
        </is>
      </c>
      <c r="H213" s="23" t="inlineStr">
        <is>
          <t>SOG</t>
        </is>
      </c>
      <c r="I213" s="23" t="inlineStr">
        <is>
          <t>HIT</t>
        </is>
      </c>
      <c r="J213" s="23" t="inlineStr">
        <is>
          <t>BLK</t>
        </is>
      </c>
    </row>
    <row r="214">
      <c r="A214" t="n">
        <v>1</v>
      </c>
      <c r="B214">
        <f>IFERROR(INDEX(Board!$M$2:$M$17,1),"")</f>
        <v/>
      </c>
      <c r="C214">
        <f>IF($B214="","",IFERROR(INDEX(Players!$C$2:$C$301,MATCH($B214,Players!$B$2:$B$301,0)),""))</f>
        <v/>
      </c>
      <c r="D214">
        <f>IF($B214="","",IFERROR(INDEX(Players!$D$2:$D$301,MATCH($B214,Players!$B$2:$B$301,0)),""))</f>
        <v/>
      </c>
      <c r="E214">
        <f>IF($B214="","",IFERROR(INDEX(Players!$M$2:$M$301,MATCH($B214,Players!$B$2:$B$301,0)),""))</f>
        <v/>
      </c>
      <c r="F214">
        <f>IF($B214="","",IFERROR(INDEX(Players!$N$2:$N$301,MATCH($B214,Players!$B$2:$B$301,0)),""))</f>
        <v/>
      </c>
      <c r="G214">
        <f>IF($B214="","",IFERROR(INDEX(Players!$O$2:$O$301,MATCH($B214,Players!$B$2:$B$301,0)),""))</f>
        <v/>
      </c>
      <c r="H214">
        <f>IF($B214="","",IFERROR(INDEX(Players!$P$2:$P$301,MATCH($B214,Players!$B$2:$B$301,0)),""))</f>
        <v/>
      </c>
      <c r="I214">
        <f>IF($B214="","",IFERROR(INDEX(Players!$Q$2:$Q$301,MATCH($B214,Players!$B$2:$B$301,0)),""))</f>
        <v/>
      </c>
      <c r="J214">
        <f>IF($B214="","",IFERROR(INDEX(Players!$R$2:$R$301,MATCH($B214,Players!$B$2:$B$301,0)),""))</f>
        <v/>
      </c>
    </row>
    <row r="215">
      <c r="A215" t="n">
        <v>2</v>
      </c>
      <c r="B215">
        <f>IFERROR(INDEX(Board!$M$2:$M$17,2),"")</f>
        <v/>
      </c>
      <c r="C215">
        <f>IF($B215="","",IFERROR(INDEX(Players!$C$2:$C$301,MATCH($B215,Players!$B$2:$B$301,0)),""))</f>
        <v/>
      </c>
      <c r="D215">
        <f>IF($B215="","",IFERROR(INDEX(Players!$D$2:$D$301,MATCH($B215,Players!$B$2:$B$301,0)),""))</f>
        <v/>
      </c>
      <c r="E215">
        <f>IF($B215="","",IFERROR(INDEX(Players!$M$2:$M$301,MATCH($B215,Players!$B$2:$B$301,0)),""))</f>
        <v/>
      </c>
      <c r="F215">
        <f>IF($B215="","",IFERROR(INDEX(Players!$N$2:$N$301,MATCH($B215,Players!$B$2:$B$301,0)),""))</f>
        <v/>
      </c>
      <c r="G215">
        <f>IF($B215="","",IFERROR(INDEX(Players!$O$2:$O$301,MATCH($B215,Players!$B$2:$B$301,0)),""))</f>
        <v/>
      </c>
      <c r="H215">
        <f>IF($B215="","",IFERROR(INDEX(Players!$P$2:$P$301,MATCH($B215,Players!$B$2:$B$301,0)),""))</f>
        <v/>
      </c>
      <c r="I215">
        <f>IF($B215="","",IFERROR(INDEX(Players!$Q$2:$Q$301,MATCH($B215,Players!$B$2:$B$301,0)),""))</f>
        <v/>
      </c>
      <c r="J215">
        <f>IF($B215="","",IFERROR(INDEX(Players!$R$2:$R$301,MATCH($B215,Players!$B$2:$B$301,0)),""))</f>
        <v/>
      </c>
    </row>
    <row r="216">
      <c r="A216" t="n">
        <v>3</v>
      </c>
      <c r="B216">
        <f>IFERROR(INDEX(Board!$M$2:$M$17,3),"")</f>
        <v/>
      </c>
      <c r="C216">
        <f>IF($B216="","",IFERROR(INDEX(Players!$C$2:$C$301,MATCH($B216,Players!$B$2:$B$301,0)),""))</f>
        <v/>
      </c>
      <c r="D216">
        <f>IF($B216="","",IFERROR(INDEX(Players!$D$2:$D$301,MATCH($B216,Players!$B$2:$B$301,0)),""))</f>
        <v/>
      </c>
      <c r="E216">
        <f>IF($B216="","",IFERROR(INDEX(Players!$M$2:$M$301,MATCH($B216,Players!$B$2:$B$301,0)),""))</f>
        <v/>
      </c>
      <c r="F216">
        <f>IF($B216="","",IFERROR(INDEX(Players!$N$2:$N$301,MATCH($B216,Players!$B$2:$B$301,0)),""))</f>
        <v/>
      </c>
      <c r="G216">
        <f>IF($B216="","",IFERROR(INDEX(Players!$O$2:$O$301,MATCH($B216,Players!$B$2:$B$301,0)),""))</f>
        <v/>
      </c>
      <c r="H216">
        <f>IF($B216="","",IFERROR(INDEX(Players!$P$2:$P$301,MATCH($B216,Players!$B$2:$B$301,0)),""))</f>
        <v/>
      </c>
      <c r="I216">
        <f>IF($B216="","",IFERROR(INDEX(Players!$Q$2:$Q$301,MATCH($B216,Players!$B$2:$B$301,0)),""))</f>
        <v/>
      </c>
      <c r="J216">
        <f>IF($B216="","",IFERROR(INDEX(Players!$R$2:$R$301,MATCH($B216,Players!$B$2:$B$301,0)),""))</f>
        <v/>
      </c>
    </row>
    <row r="217">
      <c r="A217" t="n">
        <v>4</v>
      </c>
      <c r="B217">
        <f>IFERROR(INDEX(Board!$M$2:$M$17,4),"")</f>
        <v/>
      </c>
      <c r="C217">
        <f>IF($B217="","",IFERROR(INDEX(Players!$C$2:$C$301,MATCH($B217,Players!$B$2:$B$301,0)),""))</f>
        <v/>
      </c>
      <c r="D217">
        <f>IF($B217="","",IFERROR(INDEX(Players!$D$2:$D$301,MATCH($B217,Players!$B$2:$B$301,0)),""))</f>
        <v/>
      </c>
      <c r="E217">
        <f>IF($B217="","",IFERROR(INDEX(Players!$M$2:$M$301,MATCH($B217,Players!$B$2:$B$301,0)),""))</f>
        <v/>
      </c>
      <c r="F217">
        <f>IF($B217="","",IFERROR(INDEX(Players!$N$2:$N$301,MATCH($B217,Players!$B$2:$B$301,0)),""))</f>
        <v/>
      </c>
      <c r="G217">
        <f>IF($B217="","",IFERROR(INDEX(Players!$O$2:$O$301,MATCH($B217,Players!$B$2:$B$301,0)),""))</f>
        <v/>
      </c>
      <c r="H217">
        <f>IF($B217="","",IFERROR(INDEX(Players!$P$2:$P$301,MATCH($B217,Players!$B$2:$B$301,0)),""))</f>
        <v/>
      </c>
      <c r="I217">
        <f>IF($B217="","",IFERROR(INDEX(Players!$Q$2:$Q$301,MATCH($B217,Players!$B$2:$B$301,0)),""))</f>
        <v/>
      </c>
      <c r="J217">
        <f>IF($B217="","",IFERROR(INDEX(Players!$R$2:$R$301,MATCH($B217,Players!$B$2:$B$301,0)),""))</f>
        <v/>
      </c>
    </row>
    <row r="218">
      <c r="A218" t="n">
        <v>5</v>
      </c>
      <c r="B218">
        <f>IFERROR(INDEX(Board!$M$2:$M$17,5),"")</f>
        <v/>
      </c>
      <c r="C218">
        <f>IF($B218="","",IFERROR(INDEX(Players!$C$2:$C$301,MATCH($B218,Players!$B$2:$B$301,0)),""))</f>
        <v/>
      </c>
      <c r="D218">
        <f>IF($B218="","",IFERROR(INDEX(Players!$D$2:$D$301,MATCH($B218,Players!$B$2:$B$301,0)),""))</f>
        <v/>
      </c>
      <c r="E218">
        <f>IF($B218="","",IFERROR(INDEX(Players!$M$2:$M$301,MATCH($B218,Players!$B$2:$B$301,0)),""))</f>
        <v/>
      </c>
      <c r="F218">
        <f>IF($B218="","",IFERROR(INDEX(Players!$N$2:$N$301,MATCH($B218,Players!$B$2:$B$301,0)),""))</f>
        <v/>
      </c>
      <c r="G218">
        <f>IF($B218="","",IFERROR(INDEX(Players!$O$2:$O$301,MATCH($B218,Players!$B$2:$B$301,0)),""))</f>
        <v/>
      </c>
      <c r="H218">
        <f>IF($B218="","",IFERROR(INDEX(Players!$P$2:$P$301,MATCH($B218,Players!$B$2:$B$301,0)),""))</f>
        <v/>
      </c>
      <c r="I218">
        <f>IF($B218="","",IFERROR(INDEX(Players!$Q$2:$Q$301,MATCH($B218,Players!$B$2:$B$301,0)),""))</f>
        <v/>
      </c>
      <c r="J218">
        <f>IF($B218="","",IFERROR(INDEX(Players!$R$2:$R$301,MATCH($B218,Players!$B$2:$B$301,0)),""))</f>
        <v/>
      </c>
    </row>
    <row r="219">
      <c r="A219" t="n">
        <v>6</v>
      </c>
      <c r="B219">
        <f>IFERROR(INDEX(Board!$M$2:$M$17,6),"")</f>
        <v/>
      </c>
      <c r="C219">
        <f>IF($B219="","",IFERROR(INDEX(Players!$C$2:$C$301,MATCH($B219,Players!$B$2:$B$301,0)),""))</f>
        <v/>
      </c>
      <c r="D219">
        <f>IF($B219="","",IFERROR(INDEX(Players!$D$2:$D$301,MATCH($B219,Players!$B$2:$B$301,0)),""))</f>
        <v/>
      </c>
      <c r="E219">
        <f>IF($B219="","",IFERROR(INDEX(Players!$M$2:$M$301,MATCH($B219,Players!$B$2:$B$301,0)),""))</f>
        <v/>
      </c>
      <c r="F219">
        <f>IF($B219="","",IFERROR(INDEX(Players!$N$2:$N$301,MATCH($B219,Players!$B$2:$B$301,0)),""))</f>
        <v/>
      </c>
      <c r="G219">
        <f>IF($B219="","",IFERROR(INDEX(Players!$O$2:$O$301,MATCH($B219,Players!$B$2:$B$301,0)),""))</f>
        <v/>
      </c>
      <c r="H219">
        <f>IF($B219="","",IFERROR(INDEX(Players!$P$2:$P$301,MATCH($B219,Players!$B$2:$B$301,0)),""))</f>
        <v/>
      </c>
      <c r="I219">
        <f>IF($B219="","",IFERROR(INDEX(Players!$Q$2:$Q$301,MATCH($B219,Players!$B$2:$B$301,0)),""))</f>
        <v/>
      </c>
      <c r="J219">
        <f>IF($B219="","",IFERROR(INDEX(Players!$R$2:$R$301,MATCH($B219,Players!$B$2:$B$301,0)),""))</f>
        <v/>
      </c>
    </row>
    <row r="220">
      <c r="A220" t="n">
        <v>7</v>
      </c>
      <c r="B220">
        <f>IFERROR(INDEX(Board!$M$2:$M$17,7),"")</f>
        <v/>
      </c>
      <c r="C220">
        <f>IF($B220="","",IFERROR(INDEX(Players!$C$2:$C$301,MATCH($B220,Players!$B$2:$B$301,0)),""))</f>
        <v/>
      </c>
      <c r="D220">
        <f>IF($B220="","",IFERROR(INDEX(Players!$D$2:$D$301,MATCH($B220,Players!$B$2:$B$301,0)),""))</f>
        <v/>
      </c>
      <c r="E220">
        <f>IF($B220="","",IFERROR(INDEX(Players!$M$2:$M$301,MATCH($B220,Players!$B$2:$B$301,0)),""))</f>
        <v/>
      </c>
      <c r="F220">
        <f>IF($B220="","",IFERROR(INDEX(Players!$N$2:$N$301,MATCH($B220,Players!$B$2:$B$301,0)),""))</f>
        <v/>
      </c>
      <c r="G220">
        <f>IF($B220="","",IFERROR(INDEX(Players!$O$2:$O$301,MATCH($B220,Players!$B$2:$B$301,0)),""))</f>
        <v/>
      </c>
      <c r="H220">
        <f>IF($B220="","",IFERROR(INDEX(Players!$P$2:$P$301,MATCH($B220,Players!$B$2:$B$301,0)),""))</f>
        <v/>
      </c>
      <c r="I220">
        <f>IF($B220="","",IFERROR(INDEX(Players!$Q$2:$Q$301,MATCH($B220,Players!$B$2:$B$301,0)),""))</f>
        <v/>
      </c>
      <c r="J220">
        <f>IF($B220="","",IFERROR(INDEX(Players!$R$2:$R$301,MATCH($B220,Players!$B$2:$B$301,0)),""))</f>
        <v/>
      </c>
    </row>
    <row r="221">
      <c r="A221" t="n">
        <v>8</v>
      </c>
      <c r="B221">
        <f>IFERROR(INDEX(Board!$M$2:$M$17,8),"")</f>
        <v/>
      </c>
      <c r="C221">
        <f>IF($B221="","",IFERROR(INDEX(Players!$C$2:$C$301,MATCH($B221,Players!$B$2:$B$301,0)),""))</f>
        <v/>
      </c>
      <c r="D221">
        <f>IF($B221="","",IFERROR(INDEX(Players!$D$2:$D$301,MATCH($B221,Players!$B$2:$B$301,0)),""))</f>
        <v/>
      </c>
      <c r="E221">
        <f>IF($B221="","",IFERROR(INDEX(Players!$M$2:$M$301,MATCH($B221,Players!$B$2:$B$301,0)),""))</f>
        <v/>
      </c>
      <c r="F221">
        <f>IF($B221="","",IFERROR(INDEX(Players!$N$2:$N$301,MATCH($B221,Players!$B$2:$B$301,0)),""))</f>
        <v/>
      </c>
      <c r="G221">
        <f>IF($B221="","",IFERROR(INDEX(Players!$O$2:$O$301,MATCH($B221,Players!$B$2:$B$301,0)),""))</f>
        <v/>
      </c>
      <c r="H221">
        <f>IF($B221="","",IFERROR(INDEX(Players!$P$2:$P$301,MATCH($B221,Players!$B$2:$B$301,0)),""))</f>
        <v/>
      </c>
      <c r="I221">
        <f>IF($B221="","",IFERROR(INDEX(Players!$Q$2:$Q$301,MATCH($B221,Players!$B$2:$B$301,0)),""))</f>
        <v/>
      </c>
      <c r="J221">
        <f>IF($B221="","",IFERROR(INDEX(Players!$R$2:$R$301,MATCH($B221,Players!$B$2:$B$301,0)),""))</f>
        <v/>
      </c>
    </row>
    <row r="222">
      <c r="A222" t="n">
        <v>9</v>
      </c>
      <c r="B222">
        <f>IFERROR(INDEX(Board!$M$2:$M$17,9),"")</f>
        <v/>
      </c>
      <c r="C222">
        <f>IF($B222="","",IFERROR(INDEX(Players!$C$2:$C$301,MATCH($B222,Players!$B$2:$B$301,0)),""))</f>
        <v/>
      </c>
      <c r="D222">
        <f>IF($B222="","",IFERROR(INDEX(Players!$D$2:$D$301,MATCH($B222,Players!$B$2:$B$301,0)),""))</f>
        <v/>
      </c>
      <c r="E222">
        <f>IF($B222="","",IFERROR(INDEX(Players!$M$2:$M$301,MATCH($B222,Players!$B$2:$B$301,0)),""))</f>
        <v/>
      </c>
      <c r="F222">
        <f>IF($B222="","",IFERROR(INDEX(Players!$N$2:$N$301,MATCH($B222,Players!$B$2:$B$301,0)),""))</f>
        <v/>
      </c>
      <c r="G222">
        <f>IF($B222="","",IFERROR(INDEX(Players!$O$2:$O$301,MATCH($B222,Players!$B$2:$B$301,0)),""))</f>
        <v/>
      </c>
      <c r="H222">
        <f>IF($B222="","",IFERROR(INDEX(Players!$P$2:$P$301,MATCH($B222,Players!$B$2:$B$301,0)),""))</f>
        <v/>
      </c>
      <c r="I222">
        <f>IF($B222="","",IFERROR(INDEX(Players!$Q$2:$Q$301,MATCH($B222,Players!$B$2:$B$301,0)),""))</f>
        <v/>
      </c>
      <c r="J222">
        <f>IF($B222="","",IFERROR(INDEX(Players!$R$2:$R$301,MATCH($B222,Players!$B$2:$B$301,0)),""))</f>
        <v/>
      </c>
    </row>
    <row r="223">
      <c r="A223" t="n">
        <v>10</v>
      </c>
      <c r="B223">
        <f>IFERROR(INDEX(Board!$M$2:$M$17,10),"")</f>
        <v/>
      </c>
      <c r="C223">
        <f>IF($B223="","",IFERROR(INDEX(Players!$C$2:$C$301,MATCH($B223,Players!$B$2:$B$301,0)),""))</f>
        <v/>
      </c>
      <c r="D223">
        <f>IF($B223="","",IFERROR(INDEX(Players!$D$2:$D$301,MATCH($B223,Players!$B$2:$B$301,0)),""))</f>
        <v/>
      </c>
      <c r="E223">
        <f>IF($B223="","",IFERROR(INDEX(Players!$M$2:$M$301,MATCH($B223,Players!$B$2:$B$301,0)),""))</f>
        <v/>
      </c>
      <c r="F223">
        <f>IF($B223="","",IFERROR(INDEX(Players!$N$2:$N$301,MATCH($B223,Players!$B$2:$B$301,0)),""))</f>
        <v/>
      </c>
      <c r="G223">
        <f>IF($B223="","",IFERROR(INDEX(Players!$O$2:$O$301,MATCH($B223,Players!$B$2:$B$301,0)),""))</f>
        <v/>
      </c>
      <c r="H223">
        <f>IF($B223="","",IFERROR(INDEX(Players!$P$2:$P$301,MATCH($B223,Players!$B$2:$B$301,0)),""))</f>
        <v/>
      </c>
      <c r="I223">
        <f>IF($B223="","",IFERROR(INDEX(Players!$Q$2:$Q$301,MATCH($B223,Players!$B$2:$B$301,0)),""))</f>
        <v/>
      </c>
      <c r="J223">
        <f>IF($B223="","",IFERROR(INDEX(Players!$R$2:$R$301,MATCH($B223,Players!$B$2:$B$301,0)),""))</f>
        <v/>
      </c>
    </row>
    <row r="224">
      <c r="A224" t="n">
        <v>11</v>
      </c>
      <c r="B224">
        <f>IFERROR(INDEX(Board!$M$2:$M$17,11),"")</f>
        <v/>
      </c>
      <c r="C224">
        <f>IF($B224="","",IFERROR(INDEX(Players!$C$2:$C$301,MATCH($B224,Players!$B$2:$B$301,0)),""))</f>
        <v/>
      </c>
      <c r="D224">
        <f>IF($B224="","",IFERROR(INDEX(Players!$D$2:$D$301,MATCH($B224,Players!$B$2:$B$301,0)),""))</f>
        <v/>
      </c>
      <c r="E224">
        <f>IF($B224="","",IFERROR(INDEX(Players!$M$2:$M$301,MATCH($B224,Players!$B$2:$B$301,0)),""))</f>
        <v/>
      </c>
      <c r="F224">
        <f>IF($B224="","",IFERROR(INDEX(Players!$N$2:$N$301,MATCH($B224,Players!$B$2:$B$301,0)),""))</f>
        <v/>
      </c>
      <c r="G224">
        <f>IF($B224="","",IFERROR(INDEX(Players!$O$2:$O$301,MATCH($B224,Players!$B$2:$B$301,0)),""))</f>
        <v/>
      </c>
      <c r="H224">
        <f>IF($B224="","",IFERROR(INDEX(Players!$P$2:$P$301,MATCH($B224,Players!$B$2:$B$301,0)),""))</f>
        <v/>
      </c>
      <c r="I224">
        <f>IF($B224="","",IFERROR(INDEX(Players!$Q$2:$Q$301,MATCH($B224,Players!$B$2:$B$301,0)),""))</f>
        <v/>
      </c>
      <c r="J224">
        <f>IF($B224="","",IFERROR(INDEX(Players!$R$2:$R$301,MATCH($B224,Players!$B$2:$B$301,0)),""))</f>
        <v/>
      </c>
    </row>
    <row r="225">
      <c r="A225" t="n">
        <v>12</v>
      </c>
      <c r="B225">
        <f>IFERROR(INDEX(Board!$M$2:$M$17,12),"")</f>
        <v/>
      </c>
      <c r="C225">
        <f>IF($B225="","",IFERROR(INDEX(Players!$C$2:$C$301,MATCH($B225,Players!$B$2:$B$301,0)),""))</f>
        <v/>
      </c>
      <c r="D225">
        <f>IF($B225="","",IFERROR(INDEX(Players!$D$2:$D$301,MATCH($B225,Players!$B$2:$B$301,0)),""))</f>
        <v/>
      </c>
      <c r="E225">
        <f>IF($B225="","",IFERROR(INDEX(Players!$M$2:$M$301,MATCH($B225,Players!$B$2:$B$301,0)),""))</f>
        <v/>
      </c>
      <c r="F225">
        <f>IF($B225="","",IFERROR(INDEX(Players!$N$2:$N$301,MATCH($B225,Players!$B$2:$B$301,0)),""))</f>
        <v/>
      </c>
      <c r="G225">
        <f>IF($B225="","",IFERROR(INDEX(Players!$O$2:$O$301,MATCH($B225,Players!$B$2:$B$301,0)),""))</f>
        <v/>
      </c>
      <c r="H225">
        <f>IF($B225="","",IFERROR(INDEX(Players!$P$2:$P$301,MATCH($B225,Players!$B$2:$B$301,0)),""))</f>
        <v/>
      </c>
      <c r="I225">
        <f>IF($B225="","",IFERROR(INDEX(Players!$Q$2:$Q$301,MATCH($B225,Players!$B$2:$B$301,0)),""))</f>
        <v/>
      </c>
      <c r="J225">
        <f>IF($B225="","",IFERROR(INDEX(Players!$R$2:$R$301,MATCH($B225,Players!$B$2:$B$301,0)),""))</f>
        <v/>
      </c>
    </row>
    <row r="226">
      <c r="A226" t="n">
        <v>13</v>
      </c>
      <c r="B226">
        <f>IFERROR(INDEX(Board!$M$2:$M$17,13),"")</f>
        <v/>
      </c>
      <c r="C226">
        <f>IF($B226="","",IFERROR(INDEX(Players!$C$2:$C$301,MATCH($B226,Players!$B$2:$B$301,0)),""))</f>
        <v/>
      </c>
      <c r="D226">
        <f>IF($B226="","",IFERROR(INDEX(Players!$D$2:$D$301,MATCH($B226,Players!$B$2:$B$301,0)),""))</f>
        <v/>
      </c>
      <c r="E226">
        <f>IF($B226="","",IFERROR(INDEX(Players!$M$2:$M$301,MATCH($B226,Players!$B$2:$B$301,0)),""))</f>
        <v/>
      </c>
      <c r="F226">
        <f>IF($B226="","",IFERROR(INDEX(Players!$N$2:$N$301,MATCH($B226,Players!$B$2:$B$301,0)),""))</f>
        <v/>
      </c>
      <c r="G226">
        <f>IF($B226="","",IFERROR(INDEX(Players!$O$2:$O$301,MATCH($B226,Players!$B$2:$B$301,0)),""))</f>
        <v/>
      </c>
      <c r="H226">
        <f>IF($B226="","",IFERROR(INDEX(Players!$P$2:$P$301,MATCH($B226,Players!$B$2:$B$301,0)),""))</f>
        <v/>
      </c>
      <c r="I226">
        <f>IF($B226="","",IFERROR(INDEX(Players!$Q$2:$Q$301,MATCH($B226,Players!$B$2:$B$301,0)),""))</f>
        <v/>
      </c>
      <c r="J226">
        <f>IF($B226="","",IFERROR(INDEX(Players!$R$2:$R$301,MATCH($B226,Players!$B$2:$B$301,0)),""))</f>
        <v/>
      </c>
    </row>
    <row r="227">
      <c r="A227" t="n">
        <v>14</v>
      </c>
      <c r="B227">
        <f>IFERROR(INDEX(Board!$M$2:$M$17,14),"")</f>
        <v/>
      </c>
      <c r="C227">
        <f>IF($B227="","",IFERROR(INDEX(Players!$C$2:$C$301,MATCH($B227,Players!$B$2:$B$301,0)),""))</f>
        <v/>
      </c>
      <c r="D227">
        <f>IF($B227="","",IFERROR(INDEX(Players!$D$2:$D$301,MATCH($B227,Players!$B$2:$B$301,0)),""))</f>
        <v/>
      </c>
      <c r="E227">
        <f>IF($B227="","",IFERROR(INDEX(Players!$M$2:$M$301,MATCH($B227,Players!$B$2:$B$301,0)),""))</f>
        <v/>
      </c>
      <c r="F227">
        <f>IF($B227="","",IFERROR(INDEX(Players!$N$2:$N$301,MATCH($B227,Players!$B$2:$B$301,0)),""))</f>
        <v/>
      </c>
      <c r="G227">
        <f>IF($B227="","",IFERROR(INDEX(Players!$O$2:$O$301,MATCH($B227,Players!$B$2:$B$301,0)),""))</f>
        <v/>
      </c>
      <c r="H227">
        <f>IF($B227="","",IFERROR(INDEX(Players!$P$2:$P$301,MATCH($B227,Players!$B$2:$B$301,0)),""))</f>
        <v/>
      </c>
      <c r="I227">
        <f>IF($B227="","",IFERROR(INDEX(Players!$Q$2:$Q$301,MATCH($B227,Players!$B$2:$B$301,0)),""))</f>
        <v/>
      </c>
      <c r="J227">
        <f>IF($B227="","",IFERROR(INDEX(Players!$R$2:$R$301,MATCH($B227,Players!$B$2:$B$301,0)),""))</f>
        <v/>
      </c>
    </row>
    <row r="228">
      <c r="A228" t="n">
        <v>15</v>
      </c>
      <c r="B228">
        <f>IFERROR(INDEX(Board!$M$2:$M$17,15),"")</f>
        <v/>
      </c>
      <c r="C228">
        <f>IF($B228="","",IFERROR(INDEX(Players!$C$2:$C$301,MATCH($B228,Players!$B$2:$B$301,0)),""))</f>
        <v/>
      </c>
      <c r="D228">
        <f>IF($B228="","",IFERROR(INDEX(Players!$D$2:$D$301,MATCH($B228,Players!$B$2:$B$301,0)),""))</f>
        <v/>
      </c>
      <c r="E228">
        <f>IF($B228="","",IFERROR(INDEX(Players!$M$2:$M$301,MATCH($B228,Players!$B$2:$B$301,0)),""))</f>
        <v/>
      </c>
      <c r="F228">
        <f>IF($B228="","",IFERROR(INDEX(Players!$N$2:$N$301,MATCH($B228,Players!$B$2:$B$301,0)),""))</f>
        <v/>
      </c>
      <c r="G228">
        <f>IF($B228="","",IFERROR(INDEX(Players!$O$2:$O$301,MATCH($B228,Players!$B$2:$B$301,0)),""))</f>
        <v/>
      </c>
      <c r="H228">
        <f>IF($B228="","",IFERROR(INDEX(Players!$P$2:$P$301,MATCH($B228,Players!$B$2:$B$301,0)),""))</f>
        <v/>
      </c>
      <c r="I228">
        <f>IF($B228="","",IFERROR(INDEX(Players!$Q$2:$Q$301,MATCH($B228,Players!$B$2:$B$301,0)),""))</f>
        <v/>
      </c>
      <c r="J228">
        <f>IF($B228="","",IFERROR(INDEX(Players!$R$2:$R$301,MATCH($B228,Players!$B$2:$B$301,0)),""))</f>
        <v/>
      </c>
    </row>
    <row r="229">
      <c r="A229" t="n">
        <v>16</v>
      </c>
      <c r="B229">
        <f>IFERROR(INDEX(Board!$M$2:$M$17,16),"")</f>
        <v/>
      </c>
      <c r="C229">
        <f>IF($B229="","",IFERROR(INDEX(Players!$C$2:$C$301,MATCH($B229,Players!$B$2:$B$301,0)),""))</f>
        <v/>
      </c>
      <c r="D229">
        <f>IF($B229="","",IFERROR(INDEX(Players!$D$2:$D$301,MATCH($B229,Players!$B$2:$B$301,0)),""))</f>
        <v/>
      </c>
      <c r="E229">
        <f>IF($B229="","",IFERROR(INDEX(Players!$M$2:$M$301,MATCH($B229,Players!$B$2:$B$301,0)),""))</f>
        <v/>
      </c>
      <c r="F229">
        <f>IF($B229="","",IFERROR(INDEX(Players!$N$2:$N$301,MATCH($B229,Players!$B$2:$B$301,0)),""))</f>
        <v/>
      </c>
      <c r="G229">
        <f>IF($B229="","",IFERROR(INDEX(Players!$O$2:$O$301,MATCH($B229,Players!$B$2:$B$301,0)),""))</f>
        <v/>
      </c>
      <c r="H229">
        <f>IF($B229="","",IFERROR(INDEX(Players!$P$2:$P$301,MATCH($B229,Players!$B$2:$B$301,0)),""))</f>
        <v/>
      </c>
      <c r="I229">
        <f>IF($B229="","",IFERROR(INDEX(Players!$Q$2:$Q$301,MATCH($B229,Players!$B$2:$B$301,0)),""))</f>
        <v/>
      </c>
      <c r="J229">
        <f>IF($B229="","",IFERROR(INDEX(Players!$R$2:$R$301,MATCH($B229,Players!$B$2:$B$301,0)),""))</f>
        <v/>
      </c>
    </row>
    <row r="230">
      <c r="B230" s="29" t="inlineStr">
        <is>
          <t>TOTAL</t>
        </is>
      </c>
      <c r="E230" s="33">
        <f>SUM(E214:E229)</f>
        <v/>
      </c>
      <c r="F230" s="33">
        <f>SUM(F214:F229)</f>
        <v/>
      </c>
      <c r="G230" s="33">
        <f>SUM(G214:G229)</f>
        <v/>
      </c>
      <c r="H230" s="33">
        <f>SUM(H214:H229)</f>
        <v/>
      </c>
      <c r="I230" s="33">
        <f>SUM(I214:I229)</f>
        <v/>
      </c>
      <c r="J230" s="33">
        <f>SUM(J214:J229)</f>
        <v/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min="1" max="1"/>
    <col width="7" customWidth="1" min="2" max="2"/>
  </cols>
  <sheetData>
    <row r="1">
      <c r="A1" s="27" t="inlineStr">
        <is>
          <t>Projected standings</t>
        </is>
      </c>
    </row>
    <row r="2">
      <c r="A2" s="26" t="inlineStr">
        <is>
          <t>Totals from the Rosters sheet, live off the Board. Composition says what kind of roster produced them.</t>
        </is>
      </c>
    </row>
    <row r="3">
      <c r="A3" s="28" t="inlineStr">
        <is>
          <t>Team</t>
        </is>
      </c>
      <c r="B3" s="28" t="inlineStr">
        <is>
          <t>Picks</t>
        </is>
      </c>
      <c r="C3" s="28" t="inlineStr">
        <is>
          <t>G</t>
        </is>
      </c>
      <c r="D3" s="28" t="inlineStr">
        <is>
          <t>A</t>
        </is>
      </c>
      <c r="E3" s="28" t="inlineStr">
        <is>
          <t>PPP</t>
        </is>
      </c>
      <c r="F3" s="28" t="inlineStr">
        <is>
          <t>SOG</t>
        </is>
      </c>
      <c r="G3" s="28" t="inlineStr">
        <is>
          <t>HIT</t>
        </is>
      </c>
      <c r="H3" s="28" t="inlineStr">
        <is>
          <t>BLK</t>
        </is>
      </c>
      <c r="I3" s="28" t="inlineStr">
        <is>
          <t>PP1</t>
        </is>
      </c>
      <c r="J3" s="28" t="inlineStr">
        <is>
          <t>L1 F</t>
        </is>
      </c>
      <c r="K3" s="28" t="inlineStr">
        <is>
          <t>D1</t>
        </is>
      </c>
      <c r="L3" s="28" t="inlineStr">
        <is>
          <t>PK</t>
        </is>
      </c>
      <c r="M3" s="28" t="inlineStr">
        <is>
          <t>C</t>
        </is>
      </c>
      <c r="N3" s="28" t="inlineStr">
        <is>
          <t>L</t>
        </is>
      </c>
      <c r="O3" s="28" t="inlineStr">
        <is>
          <t>R</t>
        </is>
      </c>
      <c r="P3" s="28" t="inlineStr">
        <is>
          <t>D</t>
        </is>
      </c>
      <c r="Q3" s="28" t="inlineStr">
        <is>
          <t>G</t>
        </is>
      </c>
    </row>
    <row r="4">
      <c r="A4" s="31" t="inlineStr">
        <is>
          <t>Team 1</t>
        </is>
      </c>
      <c r="B4">
        <f>COUNTA(Board!$B$2:$B$17)</f>
        <v/>
      </c>
      <c r="C4" s="15">
        <f>Rosters!E21</f>
        <v/>
      </c>
      <c r="D4" s="15">
        <f>Rosters!F21</f>
        <v/>
      </c>
      <c r="E4" s="15">
        <f>Rosters!G21</f>
        <v/>
      </c>
      <c r="F4" s="15">
        <f>Rosters!H21</f>
        <v/>
      </c>
      <c r="G4" s="15">
        <f>Rosters!I21</f>
        <v/>
      </c>
      <c r="H4" s="15">
        <f>Rosters!J21</f>
        <v/>
      </c>
      <c r="I4" s="35">
        <f>SUMPRODUCT(COUNTIF(Board!$B$2:$B$17,Players!$B$2:$B$301)*(Players!$F$2:$F$301="PP1"))</f>
        <v/>
      </c>
      <c r="J4" s="35">
        <f>SUMPRODUCT(COUNTIF(Board!$B$2:$B$17,Players!$B$2:$B$301)*((Players!$D$2:$D$301="C")+(Players!$D$2:$D$301="L")+(Players!$D$2:$D$301="R"))*(Players!$I$2:$I$301=1))</f>
        <v/>
      </c>
      <c r="K4" s="35">
        <f>SUMPRODUCT(COUNTIF(Board!$B$2:$B$17,Players!$B$2:$B$301)*(Players!$D$2:$D$301="D")*(Players!$I$2:$I$301=1))</f>
        <v/>
      </c>
      <c r="L4" s="35">
        <f>SUMPRODUCT(COUNTIF(Board!$B$2:$B$17,Players!$B$2:$B$301)*(Players!$J$2:$J$301&gt;=1))</f>
        <v/>
      </c>
      <c r="M4" s="35">
        <f>SUMPRODUCT(COUNTIF(Board!$B$2:$B$17,Players!$B$2:$B$301)*(Players!$D$2:$D$301="C"))</f>
        <v/>
      </c>
      <c r="N4" s="35">
        <f>SUMPRODUCT(COUNTIF(Board!$B$2:$B$17,Players!$B$2:$B$301)*(Players!$D$2:$D$301="L"))</f>
        <v/>
      </c>
      <c r="O4" s="35">
        <f>SUMPRODUCT(COUNTIF(Board!$B$2:$B$17,Players!$B$2:$B$301)*(Players!$D$2:$D$301="R"))</f>
        <v/>
      </c>
      <c r="P4" s="35">
        <f>SUMPRODUCT(COUNTIF(Board!$B$2:$B$17,Players!$B$2:$B$301)*(Players!$D$2:$D$301="D"))</f>
        <v/>
      </c>
      <c r="Q4" s="35">
        <f>SUMPRODUCT(COUNTIF(Board!$B$2:$B$17,Players!$B$2:$B$301)*(Players!$D$2:$D$301="G"))</f>
        <v/>
      </c>
    </row>
    <row r="5">
      <c r="A5" s="36" t="inlineStr">
        <is>
          <t>Team 2</t>
        </is>
      </c>
      <c r="B5">
        <f>COUNTA(Board!$C$2:$C$17)</f>
        <v/>
      </c>
      <c r="C5" s="15">
        <f>Rosters!E40</f>
        <v/>
      </c>
      <c r="D5" s="15">
        <f>Rosters!F40</f>
        <v/>
      </c>
      <c r="E5" s="15">
        <f>Rosters!G40</f>
        <v/>
      </c>
      <c r="F5" s="15">
        <f>Rosters!H40</f>
        <v/>
      </c>
      <c r="G5" s="15">
        <f>Rosters!I40</f>
        <v/>
      </c>
      <c r="H5" s="15">
        <f>Rosters!J40</f>
        <v/>
      </c>
      <c r="I5" s="35">
        <f>SUMPRODUCT(COUNTIF(Board!$C$2:$C$17,Players!$B$2:$B$301)*(Players!$F$2:$F$301="PP1"))</f>
        <v/>
      </c>
      <c r="J5" s="35">
        <f>SUMPRODUCT(COUNTIF(Board!$C$2:$C$17,Players!$B$2:$B$301)*((Players!$D$2:$D$301="C")+(Players!$D$2:$D$301="L")+(Players!$D$2:$D$301="R"))*(Players!$I$2:$I$301=1))</f>
        <v/>
      </c>
      <c r="K5" s="35">
        <f>SUMPRODUCT(COUNTIF(Board!$C$2:$C$17,Players!$B$2:$B$301)*(Players!$D$2:$D$301="D")*(Players!$I$2:$I$301=1))</f>
        <v/>
      </c>
      <c r="L5" s="35">
        <f>SUMPRODUCT(COUNTIF(Board!$C$2:$C$17,Players!$B$2:$B$301)*(Players!$J$2:$J$301&gt;=1))</f>
        <v/>
      </c>
      <c r="M5" s="35">
        <f>SUMPRODUCT(COUNTIF(Board!$C$2:$C$17,Players!$B$2:$B$301)*(Players!$D$2:$D$301="C"))</f>
        <v/>
      </c>
      <c r="N5" s="35">
        <f>SUMPRODUCT(COUNTIF(Board!$C$2:$C$17,Players!$B$2:$B$301)*(Players!$D$2:$D$301="L"))</f>
        <v/>
      </c>
      <c r="O5" s="35">
        <f>SUMPRODUCT(COUNTIF(Board!$C$2:$C$17,Players!$B$2:$B$301)*(Players!$D$2:$D$301="R"))</f>
        <v/>
      </c>
      <c r="P5" s="35">
        <f>SUMPRODUCT(COUNTIF(Board!$C$2:$C$17,Players!$B$2:$B$301)*(Players!$D$2:$D$301="D"))</f>
        <v/>
      </c>
      <c r="Q5" s="35">
        <f>SUMPRODUCT(COUNTIF(Board!$C$2:$C$17,Players!$B$2:$B$301)*(Players!$D$2:$D$301="G"))</f>
        <v/>
      </c>
    </row>
    <row r="6">
      <c r="A6" s="36" t="inlineStr">
        <is>
          <t>Team 3</t>
        </is>
      </c>
      <c r="B6">
        <f>COUNTA(Board!$D$2:$D$17)</f>
        <v/>
      </c>
      <c r="C6" s="15">
        <f>Rosters!E59</f>
        <v/>
      </c>
      <c r="D6" s="15">
        <f>Rosters!F59</f>
        <v/>
      </c>
      <c r="E6" s="15">
        <f>Rosters!G59</f>
        <v/>
      </c>
      <c r="F6" s="15">
        <f>Rosters!H59</f>
        <v/>
      </c>
      <c r="G6" s="15">
        <f>Rosters!I59</f>
        <v/>
      </c>
      <c r="H6" s="15">
        <f>Rosters!J59</f>
        <v/>
      </c>
      <c r="I6" s="35">
        <f>SUMPRODUCT(COUNTIF(Board!$D$2:$D$17,Players!$B$2:$B$301)*(Players!$F$2:$F$301="PP1"))</f>
        <v/>
      </c>
      <c r="J6" s="35">
        <f>SUMPRODUCT(COUNTIF(Board!$D$2:$D$17,Players!$B$2:$B$301)*((Players!$D$2:$D$301="C")+(Players!$D$2:$D$301="L")+(Players!$D$2:$D$301="R"))*(Players!$I$2:$I$301=1))</f>
        <v/>
      </c>
      <c r="K6" s="35">
        <f>SUMPRODUCT(COUNTIF(Board!$D$2:$D$17,Players!$B$2:$B$301)*(Players!$D$2:$D$301="D")*(Players!$I$2:$I$301=1))</f>
        <v/>
      </c>
      <c r="L6" s="35">
        <f>SUMPRODUCT(COUNTIF(Board!$D$2:$D$17,Players!$B$2:$B$301)*(Players!$J$2:$J$301&gt;=1))</f>
        <v/>
      </c>
      <c r="M6" s="35">
        <f>SUMPRODUCT(COUNTIF(Board!$D$2:$D$17,Players!$B$2:$B$301)*(Players!$D$2:$D$301="C"))</f>
        <v/>
      </c>
      <c r="N6" s="35">
        <f>SUMPRODUCT(COUNTIF(Board!$D$2:$D$17,Players!$B$2:$B$301)*(Players!$D$2:$D$301="L"))</f>
        <v/>
      </c>
      <c r="O6" s="35">
        <f>SUMPRODUCT(COUNTIF(Board!$D$2:$D$17,Players!$B$2:$B$301)*(Players!$D$2:$D$301="R"))</f>
        <v/>
      </c>
      <c r="P6" s="35">
        <f>SUMPRODUCT(COUNTIF(Board!$D$2:$D$17,Players!$B$2:$B$301)*(Players!$D$2:$D$301="D"))</f>
        <v/>
      </c>
      <c r="Q6" s="35">
        <f>SUMPRODUCT(COUNTIF(Board!$D$2:$D$17,Players!$B$2:$B$301)*(Players!$D$2:$D$301="G"))</f>
        <v/>
      </c>
    </row>
    <row r="7">
      <c r="A7" s="36" t="inlineStr">
        <is>
          <t>Team 4</t>
        </is>
      </c>
      <c r="B7">
        <f>COUNTA(Board!$E$2:$E$17)</f>
        <v/>
      </c>
      <c r="C7" s="15">
        <f>Rosters!E78</f>
        <v/>
      </c>
      <c r="D7" s="15">
        <f>Rosters!F78</f>
        <v/>
      </c>
      <c r="E7" s="15">
        <f>Rosters!G78</f>
        <v/>
      </c>
      <c r="F7" s="15">
        <f>Rosters!H78</f>
        <v/>
      </c>
      <c r="G7" s="15">
        <f>Rosters!I78</f>
        <v/>
      </c>
      <c r="H7" s="15">
        <f>Rosters!J78</f>
        <v/>
      </c>
      <c r="I7" s="35">
        <f>SUMPRODUCT(COUNTIF(Board!$E$2:$E$17,Players!$B$2:$B$301)*(Players!$F$2:$F$301="PP1"))</f>
        <v/>
      </c>
      <c r="J7" s="35">
        <f>SUMPRODUCT(COUNTIF(Board!$E$2:$E$17,Players!$B$2:$B$301)*((Players!$D$2:$D$301="C")+(Players!$D$2:$D$301="L")+(Players!$D$2:$D$301="R"))*(Players!$I$2:$I$301=1))</f>
        <v/>
      </c>
      <c r="K7" s="35">
        <f>SUMPRODUCT(COUNTIF(Board!$E$2:$E$17,Players!$B$2:$B$301)*(Players!$D$2:$D$301="D")*(Players!$I$2:$I$301=1))</f>
        <v/>
      </c>
      <c r="L7" s="35">
        <f>SUMPRODUCT(COUNTIF(Board!$E$2:$E$17,Players!$B$2:$B$301)*(Players!$J$2:$J$301&gt;=1))</f>
        <v/>
      </c>
      <c r="M7" s="35">
        <f>SUMPRODUCT(COUNTIF(Board!$E$2:$E$17,Players!$B$2:$B$301)*(Players!$D$2:$D$301="C"))</f>
        <v/>
      </c>
      <c r="N7" s="35">
        <f>SUMPRODUCT(COUNTIF(Board!$E$2:$E$17,Players!$B$2:$B$301)*(Players!$D$2:$D$301="L"))</f>
        <v/>
      </c>
      <c r="O7" s="35">
        <f>SUMPRODUCT(COUNTIF(Board!$E$2:$E$17,Players!$B$2:$B$301)*(Players!$D$2:$D$301="R"))</f>
        <v/>
      </c>
      <c r="P7" s="35">
        <f>SUMPRODUCT(COUNTIF(Board!$E$2:$E$17,Players!$B$2:$B$301)*(Players!$D$2:$D$301="D"))</f>
        <v/>
      </c>
      <c r="Q7" s="35">
        <f>SUMPRODUCT(COUNTIF(Board!$E$2:$E$17,Players!$B$2:$B$301)*(Players!$D$2:$D$301="G"))</f>
        <v/>
      </c>
    </row>
    <row r="8">
      <c r="A8" s="36" t="inlineStr">
        <is>
          <t>Team 5</t>
        </is>
      </c>
      <c r="B8">
        <f>COUNTA(Board!$F$2:$F$17)</f>
        <v/>
      </c>
      <c r="C8" s="15">
        <f>Rosters!E97</f>
        <v/>
      </c>
      <c r="D8" s="15">
        <f>Rosters!F97</f>
        <v/>
      </c>
      <c r="E8" s="15">
        <f>Rosters!G97</f>
        <v/>
      </c>
      <c r="F8" s="15">
        <f>Rosters!H97</f>
        <v/>
      </c>
      <c r="G8" s="15">
        <f>Rosters!I97</f>
        <v/>
      </c>
      <c r="H8" s="15">
        <f>Rosters!J97</f>
        <v/>
      </c>
      <c r="I8" s="35">
        <f>SUMPRODUCT(COUNTIF(Board!$F$2:$F$17,Players!$B$2:$B$301)*(Players!$F$2:$F$301="PP1"))</f>
        <v/>
      </c>
      <c r="J8" s="35">
        <f>SUMPRODUCT(COUNTIF(Board!$F$2:$F$17,Players!$B$2:$B$301)*((Players!$D$2:$D$301="C")+(Players!$D$2:$D$301="L")+(Players!$D$2:$D$301="R"))*(Players!$I$2:$I$301=1))</f>
        <v/>
      </c>
      <c r="K8" s="35">
        <f>SUMPRODUCT(COUNTIF(Board!$F$2:$F$17,Players!$B$2:$B$301)*(Players!$D$2:$D$301="D")*(Players!$I$2:$I$301=1))</f>
        <v/>
      </c>
      <c r="L8" s="35">
        <f>SUMPRODUCT(COUNTIF(Board!$F$2:$F$17,Players!$B$2:$B$301)*(Players!$J$2:$J$301&gt;=1))</f>
        <v/>
      </c>
      <c r="M8" s="35">
        <f>SUMPRODUCT(COUNTIF(Board!$F$2:$F$17,Players!$B$2:$B$301)*(Players!$D$2:$D$301="C"))</f>
        <v/>
      </c>
      <c r="N8" s="35">
        <f>SUMPRODUCT(COUNTIF(Board!$F$2:$F$17,Players!$B$2:$B$301)*(Players!$D$2:$D$301="L"))</f>
        <v/>
      </c>
      <c r="O8" s="35">
        <f>SUMPRODUCT(COUNTIF(Board!$F$2:$F$17,Players!$B$2:$B$301)*(Players!$D$2:$D$301="R"))</f>
        <v/>
      </c>
      <c r="P8" s="35">
        <f>SUMPRODUCT(COUNTIF(Board!$F$2:$F$17,Players!$B$2:$B$301)*(Players!$D$2:$D$301="D"))</f>
        <v/>
      </c>
      <c r="Q8" s="35">
        <f>SUMPRODUCT(COUNTIF(Board!$F$2:$F$17,Players!$B$2:$B$301)*(Players!$D$2:$D$301="G"))</f>
        <v/>
      </c>
    </row>
    <row r="9">
      <c r="A9" s="36" t="inlineStr">
        <is>
          <t>Team 6</t>
        </is>
      </c>
      <c r="B9">
        <f>COUNTA(Board!$G$2:$G$17)</f>
        <v/>
      </c>
      <c r="C9" s="15">
        <f>Rosters!E116</f>
        <v/>
      </c>
      <c r="D9" s="15">
        <f>Rosters!F116</f>
        <v/>
      </c>
      <c r="E9" s="15">
        <f>Rosters!G116</f>
        <v/>
      </c>
      <c r="F9" s="15">
        <f>Rosters!H116</f>
        <v/>
      </c>
      <c r="G9" s="15">
        <f>Rosters!I116</f>
        <v/>
      </c>
      <c r="H9" s="15">
        <f>Rosters!J116</f>
        <v/>
      </c>
      <c r="I9" s="35">
        <f>SUMPRODUCT(COUNTIF(Board!$G$2:$G$17,Players!$B$2:$B$301)*(Players!$F$2:$F$301="PP1"))</f>
        <v/>
      </c>
      <c r="J9" s="35">
        <f>SUMPRODUCT(COUNTIF(Board!$G$2:$G$17,Players!$B$2:$B$301)*((Players!$D$2:$D$301="C")+(Players!$D$2:$D$301="L")+(Players!$D$2:$D$301="R"))*(Players!$I$2:$I$301=1))</f>
        <v/>
      </c>
      <c r="K9" s="35">
        <f>SUMPRODUCT(COUNTIF(Board!$G$2:$G$17,Players!$B$2:$B$301)*(Players!$D$2:$D$301="D")*(Players!$I$2:$I$301=1))</f>
        <v/>
      </c>
      <c r="L9" s="35">
        <f>SUMPRODUCT(COUNTIF(Board!$G$2:$G$17,Players!$B$2:$B$301)*(Players!$J$2:$J$301&gt;=1))</f>
        <v/>
      </c>
      <c r="M9" s="35">
        <f>SUMPRODUCT(COUNTIF(Board!$G$2:$G$17,Players!$B$2:$B$301)*(Players!$D$2:$D$301="C"))</f>
        <v/>
      </c>
      <c r="N9" s="35">
        <f>SUMPRODUCT(COUNTIF(Board!$G$2:$G$17,Players!$B$2:$B$301)*(Players!$D$2:$D$301="L"))</f>
        <v/>
      </c>
      <c r="O9" s="35">
        <f>SUMPRODUCT(COUNTIF(Board!$G$2:$G$17,Players!$B$2:$B$301)*(Players!$D$2:$D$301="R"))</f>
        <v/>
      </c>
      <c r="P9" s="35">
        <f>SUMPRODUCT(COUNTIF(Board!$G$2:$G$17,Players!$B$2:$B$301)*(Players!$D$2:$D$301="D"))</f>
        <v/>
      </c>
      <c r="Q9" s="35">
        <f>SUMPRODUCT(COUNTIF(Board!$G$2:$G$17,Players!$B$2:$B$301)*(Players!$D$2:$D$301="G"))</f>
        <v/>
      </c>
    </row>
    <row r="10">
      <c r="A10" s="36" t="inlineStr">
        <is>
          <t>Team 7</t>
        </is>
      </c>
      <c r="B10">
        <f>COUNTA(Board!$H$2:$H$17)</f>
        <v/>
      </c>
      <c r="C10" s="15">
        <f>Rosters!E135</f>
        <v/>
      </c>
      <c r="D10" s="15">
        <f>Rosters!F135</f>
        <v/>
      </c>
      <c r="E10" s="15">
        <f>Rosters!G135</f>
        <v/>
      </c>
      <c r="F10" s="15">
        <f>Rosters!H135</f>
        <v/>
      </c>
      <c r="G10" s="15">
        <f>Rosters!I135</f>
        <v/>
      </c>
      <c r="H10" s="15">
        <f>Rosters!J135</f>
        <v/>
      </c>
      <c r="I10" s="35">
        <f>SUMPRODUCT(COUNTIF(Board!$H$2:$H$17,Players!$B$2:$B$301)*(Players!$F$2:$F$301="PP1"))</f>
        <v/>
      </c>
      <c r="J10" s="35">
        <f>SUMPRODUCT(COUNTIF(Board!$H$2:$H$17,Players!$B$2:$B$301)*((Players!$D$2:$D$301="C")+(Players!$D$2:$D$301="L")+(Players!$D$2:$D$301="R"))*(Players!$I$2:$I$301=1))</f>
        <v/>
      </c>
      <c r="K10" s="35">
        <f>SUMPRODUCT(COUNTIF(Board!$H$2:$H$17,Players!$B$2:$B$301)*(Players!$D$2:$D$301="D")*(Players!$I$2:$I$301=1))</f>
        <v/>
      </c>
      <c r="L10" s="35">
        <f>SUMPRODUCT(COUNTIF(Board!$H$2:$H$17,Players!$B$2:$B$301)*(Players!$J$2:$J$301&gt;=1))</f>
        <v/>
      </c>
      <c r="M10" s="35">
        <f>SUMPRODUCT(COUNTIF(Board!$H$2:$H$17,Players!$B$2:$B$301)*(Players!$D$2:$D$301="C"))</f>
        <v/>
      </c>
      <c r="N10" s="35">
        <f>SUMPRODUCT(COUNTIF(Board!$H$2:$H$17,Players!$B$2:$B$301)*(Players!$D$2:$D$301="L"))</f>
        <v/>
      </c>
      <c r="O10" s="35">
        <f>SUMPRODUCT(COUNTIF(Board!$H$2:$H$17,Players!$B$2:$B$301)*(Players!$D$2:$D$301="R"))</f>
        <v/>
      </c>
      <c r="P10" s="35">
        <f>SUMPRODUCT(COUNTIF(Board!$H$2:$H$17,Players!$B$2:$B$301)*(Players!$D$2:$D$301="D"))</f>
        <v/>
      </c>
      <c r="Q10" s="35">
        <f>SUMPRODUCT(COUNTIF(Board!$H$2:$H$17,Players!$B$2:$B$301)*(Players!$D$2:$D$301="G"))</f>
        <v/>
      </c>
    </row>
    <row r="11">
      <c r="A11" s="36" t="inlineStr">
        <is>
          <t>Team 8</t>
        </is>
      </c>
      <c r="B11">
        <f>COUNTA(Board!$I$2:$I$17)</f>
        <v/>
      </c>
      <c r="C11" s="15">
        <f>Rosters!E154</f>
        <v/>
      </c>
      <c r="D11" s="15">
        <f>Rosters!F154</f>
        <v/>
      </c>
      <c r="E11" s="15">
        <f>Rosters!G154</f>
        <v/>
      </c>
      <c r="F11" s="15">
        <f>Rosters!H154</f>
        <v/>
      </c>
      <c r="G11" s="15">
        <f>Rosters!I154</f>
        <v/>
      </c>
      <c r="H11" s="15">
        <f>Rosters!J154</f>
        <v/>
      </c>
      <c r="I11" s="35">
        <f>SUMPRODUCT(COUNTIF(Board!$I$2:$I$17,Players!$B$2:$B$301)*(Players!$F$2:$F$301="PP1"))</f>
        <v/>
      </c>
      <c r="J11" s="35">
        <f>SUMPRODUCT(COUNTIF(Board!$I$2:$I$17,Players!$B$2:$B$301)*((Players!$D$2:$D$301="C")+(Players!$D$2:$D$301="L")+(Players!$D$2:$D$301="R"))*(Players!$I$2:$I$301=1))</f>
        <v/>
      </c>
      <c r="K11" s="35">
        <f>SUMPRODUCT(COUNTIF(Board!$I$2:$I$17,Players!$B$2:$B$301)*(Players!$D$2:$D$301="D")*(Players!$I$2:$I$301=1))</f>
        <v/>
      </c>
      <c r="L11" s="35">
        <f>SUMPRODUCT(COUNTIF(Board!$I$2:$I$17,Players!$B$2:$B$301)*(Players!$J$2:$J$301&gt;=1))</f>
        <v/>
      </c>
      <c r="M11" s="35">
        <f>SUMPRODUCT(COUNTIF(Board!$I$2:$I$17,Players!$B$2:$B$301)*(Players!$D$2:$D$301="C"))</f>
        <v/>
      </c>
      <c r="N11" s="35">
        <f>SUMPRODUCT(COUNTIF(Board!$I$2:$I$17,Players!$B$2:$B$301)*(Players!$D$2:$D$301="L"))</f>
        <v/>
      </c>
      <c r="O11" s="35">
        <f>SUMPRODUCT(COUNTIF(Board!$I$2:$I$17,Players!$B$2:$B$301)*(Players!$D$2:$D$301="R"))</f>
        <v/>
      </c>
      <c r="P11" s="35">
        <f>SUMPRODUCT(COUNTIF(Board!$I$2:$I$17,Players!$B$2:$B$301)*(Players!$D$2:$D$301="D"))</f>
        <v/>
      </c>
      <c r="Q11" s="35">
        <f>SUMPRODUCT(COUNTIF(Board!$I$2:$I$17,Players!$B$2:$B$301)*(Players!$D$2:$D$301="G"))</f>
        <v/>
      </c>
    </row>
    <row r="12">
      <c r="A12" s="36" t="inlineStr">
        <is>
          <t>Team 9</t>
        </is>
      </c>
      <c r="B12">
        <f>COUNTA(Board!$J$2:$J$17)</f>
        <v/>
      </c>
      <c r="C12" s="15">
        <f>Rosters!E173</f>
        <v/>
      </c>
      <c r="D12" s="15">
        <f>Rosters!F173</f>
        <v/>
      </c>
      <c r="E12" s="15">
        <f>Rosters!G173</f>
        <v/>
      </c>
      <c r="F12" s="15">
        <f>Rosters!H173</f>
        <v/>
      </c>
      <c r="G12" s="15">
        <f>Rosters!I173</f>
        <v/>
      </c>
      <c r="H12" s="15">
        <f>Rosters!J173</f>
        <v/>
      </c>
      <c r="I12" s="35">
        <f>SUMPRODUCT(COUNTIF(Board!$J$2:$J$17,Players!$B$2:$B$301)*(Players!$F$2:$F$301="PP1"))</f>
        <v/>
      </c>
      <c r="J12" s="35">
        <f>SUMPRODUCT(COUNTIF(Board!$J$2:$J$17,Players!$B$2:$B$301)*((Players!$D$2:$D$301="C")+(Players!$D$2:$D$301="L")+(Players!$D$2:$D$301="R"))*(Players!$I$2:$I$301=1))</f>
        <v/>
      </c>
      <c r="K12" s="35">
        <f>SUMPRODUCT(COUNTIF(Board!$J$2:$J$17,Players!$B$2:$B$301)*(Players!$D$2:$D$301="D")*(Players!$I$2:$I$301=1))</f>
        <v/>
      </c>
      <c r="L12" s="35">
        <f>SUMPRODUCT(COUNTIF(Board!$J$2:$J$17,Players!$B$2:$B$301)*(Players!$J$2:$J$301&gt;=1))</f>
        <v/>
      </c>
      <c r="M12" s="35">
        <f>SUMPRODUCT(COUNTIF(Board!$J$2:$J$17,Players!$B$2:$B$301)*(Players!$D$2:$D$301="C"))</f>
        <v/>
      </c>
      <c r="N12" s="35">
        <f>SUMPRODUCT(COUNTIF(Board!$J$2:$J$17,Players!$B$2:$B$301)*(Players!$D$2:$D$301="L"))</f>
        <v/>
      </c>
      <c r="O12" s="35">
        <f>SUMPRODUCT(COUNTIF(Board!$J$2:$J$17,Players!$B$2:$B$301)*(Players!$D$2:$D$301="R"))</f>
        <v/>
      </c>
      <c r="P12" s="35">
        <f>SUMPRODUCT(COUNTIF(Board!$J$2:$J$17,Players!$B$2:$B$301)*(Players!$D$2:$D$301="D"))</f>
        <v/>
      </c>
      <c r="Q12" s="35">
        <f>SUMPRODUCT(COUNTIF(Board!$J$2:$J$17,Players!$B$2:$B$301)*(Players!$D$2:$D$301="G"))</f>
        <v/>
      </c>
    </row>
    <row r="13">
      <c r="A13" s="36" t="inlineStr">
        <is>
          <t>Team 10</t>
        </is>
      </c>
      <c r="B13">
        <f>COUNTA(Board!$K$2:$K$17)</f>
        <v/>
      </c>
      <c r="C13" s="15">
        <f>Rosters!E192</f>
        <v/>
      </c>
      <c r="D13" s="15">
        <f>Rosters!F192</f>
        <v/>
      </c>
      <c r="E13" s="15">
        <f>Rosters!G192</f>
        <v/>
      </c>
      <c r="F13" s="15">
        <f>Rosters!H192</f>
        <v/>
      </c>
      <c r="G13" s="15">
        <f>Rosters!I192</f>
        <v/>
      </c>
      <c r="H13" s="15">
        <f>Rosters!J192</f>
        <v/>
      </c>
      <c r="I13" s="35">
        <f>SUMPRODUCT(COUNTIF(Board!$K$2:$K$17,Players!$B$2:$B$301)*(Players!$F$2:$F$301="PP1"))</f>
        <v/>
      </c>
      <c r="J13" s="35">
        <f>SUMPRODUCT(COUNTIF(Board!$K$2:$K$17,Players!$B$2:$B$301)*((Players!$D$2:$D$301="C")+(Players!$D$2:$D$301="L")+(Players!$D$2:$D$301="R"))*(Players!$I$2:$I$301=1))</f>
        <v/>
      </c>
      <c r="K13" s="35">
        <f>SUMPRODUCT(COUNTIF(Board!$K$2:$K$17,Players!$B$2:$B$301)*(Players!$D$2:$D$301="D")*(Players!$I$2:$I$301=1))</f>
        <v/>
      </c>
      <c r="L13" s="35">
        <f>SUMPRODUCT(COUNTIF(Board!$K$2:$K$17,Players!$B$2:$B$301)*(Players!$J$2:$J$301&gt;=1))</f>
        <v/>
      </c>
      <c r="M13" s="35">
        <f>SUMPRODUCT(COUNTIF(Board!$K$2:$K$17,Players!$B$2:$B$301)*(Players!$D$2:$D$301="C"))</f>
        <v/>
      </c>
      <c r="N13" s="35">
        <f>SUMPRODUCT(COUNTIF(Board!$K$2:$K$17,Players!$B$2:$B$301)*(Players!$D$2:$D$301="L"))</f>
        <v/>
      </c>
      <c r="O13" s="35">
        <f>SUMPRODUCT(COUNTIF(Board!$K$2:$K$17,Players!$B$2:$B$301)*(Players!$D$2:$D$301="R"))</f>
        <v/>
      </c>
      <c r="P13" s="35">
        <f>SUMPRODUCT(COUNTIF(Board!$K$2:$K$17,Players!$B$2:$B$301)*(Players!$D$2:$D$301="D"))</f>
        <v/>
      </c>
      <c r="Q13" s="35">
        <f>SUMPRODUCT(COUNTIF(Board!$K$2:$K$17,Players!$B$2:$B$301)*(Players!$D$2:$D$301="G"))</f>
        <v/>
      </c>
    </row>
    <row r="14">
      <c r="A14" s="36" t="inlineStr">
        <is>
          <t>Team 11</t>
        </is>
      </c>
      <c r="B14">
        <f>COUNTA(Board!$L$2:$L$17)</f>
        <v/>
      </c>
      <c r="C14" s="15">
        <f>Rosters!E211</f>
        <v/>
      </c>
      <c r="D14" s="15">
        <f>Rosters!F211</f>
        <v/>
      </c>
      <c r="E14" s="15">
        <f>Rosters!G211</f>
        <v/>
      </c>
      <c r="F14" s="15">
        <f>Rosters!H211</f>
        <v/>
      </c>
      <c r="G14" s="15">
        <f>Rosters!I211</f>
        <v/>
      </c>
      <c r="H14" s="15">
        <f>Rosters!J211</f>
        <v/>
      </c>
      <c r="I14" s="35">
        <f>SUMPRODUCT(COUNTIF(Board!$L$2:$L$17,Players!$B$2:$B$301)*(Players!$F$2:$F$301="PP1"))</f>
        <v/>
      </c>
      <c r="J14" s="35">
        <f>SUMPRODUCT(COUNTIF(Board!$L$2:$L$17,Players!$B$2:$B$301)*((Players!$D$2:$D$301="C")+(Players!$D$2:$D$301="L")+(Players!$D$2:$D$301="R"))*(Players!$I$2:$I$301=1))</f>
        <v/>
      </c>
      <c r="K14" s="35">
        <f>SUMPRODUCT(COUNTIF(Board!$L$2:$L$17,Players!$B$2:$B$301)*(Players!$D$2:$D$301="D")*(Players!$I$2:$I$301=1))</f>
        <v/>
      </c>
      <c r="L14" s="35">
        <f>SUMPRODUCT(COUNTIF(Board!$L$2:$L$17,Players!$B$2:$B$301)*(Players!$J$2:$J$301&gt;=1))</f>
        <v/>
      </c>
      <c r="M14" s="35">
        <f>SUMPRODUCT(COUNTIF(Board!$L$2:$L$17,Players!$B$2:$B$301)*(Players!$D$2:$D$301="C"))</f>
        <v/>
      </c>
      <c r="N14" s="35">
        <f>SUMPRODUCT(COUNTIF(Board!$L$2:$L$17,Players!$B$2:$B$301)*(Players!$D$2:$D$301="L"))</f>
        <v/>
      </c>
      <c r="O14" s="35">
        <f>SUMPRODUCT(COUNTIF(Board!$L$2:$L$17,Players!$B$2:$B$301)*(Players!$D$2:$D$301="R"))</f>
        <v/>
      </c>
      <c r="P14" s="35">
        <f>SUMPRODUCT(COUNTIF(Board!$L$2:$L$17,Players!$B$2:$B$301)*(Players!$D$2:$D$301="D"))</f>
        <v/>
      </c>
      <c r="Q14" s="35">
        <f>SUMPRODUCT(COUNTIF(Board!$L$2:$L$17,Players!$B$2:$B$301)*(Players!$D$2:$D$301="G"))</f>
        <v/>
      </c>
    </row>
    <row r="15">
      <c r="A15" s="36" t="inlineStr">
        <is>
          <t>Team 12</t>
        </is>
      </c>
      <c r="B15">
        <f>COUNTA(Board!$M$2:$M$17)</f>
        <v/>
      </c>
      <c r="C15" s="15">
        <f>Rosters!E230</f>
        <v/>
      </c>
      <c r="D15" s="15">
        <f>Rosters!F230</f>
        <v/>
      </c>
      <c r="E15" s="15">
        <f>Rosters!G230</f>
        <v/>
      </c>
      <c r="F15" s="15">
        <f>Rosters!H230</f>
        <v/>
      </c>
      <c r="G15" s="15">
        <f>Rosters!I230</f>
        <v/>
      </c>
      <c r="H15" s="15">
        <f>Rosters!J230</f>
        <v/>
      </c>
      <c r="I15" s="35">
        <f>SUMPRODUCT(COUNTIF(Board!$M$2:$M$17,Players!$B$2:$B$301)*(Players!$F$2:$F$301="PP1"))</f>
        <v/>
      </c>
      <c r="J15" s="35">
        <f>SUMPRODUCT(COUNTIF(Board!$M$2:$M$17,Players!$B$2:$B$301)*((Players!$D$2:$D$301="C")+(Players!$D$2:$D$301="L")+(Players!$D$2:$D$301="R"))*(Players!$I$2:$I$301=1))</f>
        <v/>
      </c>
      <c r="K15" s="35">
        <f>SUMPRODUCT(COUNTIF(Board!$M$2:$M$17,Players!$B$2:$B$301)*(Players!$D$2:$D$301="D")*(Players!$I$2:$I$301=1))</f>
        <v/>
      </c>
      <c r="L15" s="35">
        <f>SUMPRODUCT(COUNTIF(Board!$M$2:$M$17,Players!$B$2:$B$301)*(Players!$J$2:$J$301&gt;=1))</f>
        <v/>
      </c>
      <c r="M15" s="35">
        <f>SUMPRODUCT(COUNTIF(Board!$M$2:$M$17,Players!$B$2:$B$301)*(Players!$D$2:$D$301="C"))</f>
        <v/>
      </c>
      <c r="N15" s="35">
        <f>SUMPRODUCT(COUNTIF(Board!$M$2:$M$17,Players!$B$2:$B$301)*(Players!$D$2:$D$301="L"))</f>
        <v/>
      </c>
      <c r="O15" s="35">
        <f>SUMPRODUCT(COUNTIF(Board!$M$2:$M$17,Players!$B$2:$B$301)*(Players!$D$2:$D$301="R"))</f>
        <v/>
      </c>
      <c r="P15" s="35">
        <f>SUMPRODUCT(COUNTIF(Board!$M$2:$M$17,Players!$B$2:$B$301)*(Players!$D$2:$D$301="D"))</f>
        <v/>
      </c>
      <c r="Q15" s="35">
        <f>SUMPRODUCT(COUNTIF(Board!$M$2:$M$17,Players!$B$2:$B$301)*(Players!$D$2:$D$301="G"))</f>
        <v/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1" customWidth="1" min="2" max="2"/>
    <col width="12" customWidth="1" min="3" max="3"/>
    <col width="11" customWidth="1" min="4" max="4"/>
    <col width="12" customWidth="1" min="5" max="5"/>
    <col width="15" customWidth="1" min="6" max="6"/>
  </cols>
  <sheetData>
    <row r="1">
      <c r="A1" s="37" t="inlineStr">
        <is>
          <t>Where you are strong and weak</t>
        </is>
      </c>
    </row>
    <row r="2">
      <c r="A2" s="38" t="inlineStr">
        <is>
          <t>Par is what one team gets if the draftable pool is shared out evenly — the top 192 players split 12 ways — PRO-RATED to how many picks you have actually made. Comparing a half-built roster against a full one would read as a catastrophe in every category until the last round.</t>
        </is>
      </c>
    </row>
    <row r="3">
      <c r="A3" t="inlineStr">
        <is>
          <t>Picks made</t>
        </is>
      </c>
      <c r="B3" s="31">
        <f>COUNTA(Board!$B$2:$B$17)</f>
        <v/>
      </c>
    </row>
    <row r="4">
      <c r="A4" s="28" t="inlineStr">
        <is>
          <t>Category</t>
        </is>
      </c>
      <c r="B4" s="28" t="inlineStr">
        <is>
          <t>You</t>
        </is>
      </c>
      <c r="C4" s="28" t="inlineStr">
        <is>
          <t>Par so far</t>
        </is>
      </c>
      <c r="D4" s="28" t="inlineStr">
        <is>
          <t>Diff</t>
        </is>
      </c>
      <c r="E4" s="28" t="inlineStr">
        <is>
          <t>vs par</t>
        </is>
      </c>
      <c r="F4" s="28" t="inlineStr">
        <is>
          <t>Par, full roster</t>
        </is>
      </c>
    </row>
    <row r="5">
      <c r="A5" s="29" t="inlineStr">
        <is>
          <t>G</t>
        </is>
      </c>
      <c r="B5" s="15">
        <f>'My team'!H20</f>
        <v/>
      </c>
      <c r="C5" s="15">
        <f>$F5*MIN(1,$B$3/16)</f>
        <v/>
      </c>
      <c r="D5" s="15">
        <f>B5-C5</f>
        <v/>
      </c>
      <c r="E5" s="39">
        <f>IF(C5=0,"",D5/C5)</f>
        <v/>
      </c>
      <c r="F5" s="15">
        <f>SUM(Players!$M$2:$M$193)/12</f>
        <v/>
      </c>
    </row>
    <row r="6">
      <c r="A6" s="29" t="inlineStr">
        <is>
          <t>A</t>
        </is>
      </c>
      <c r="B6" s="15">
        <f>'My team'!I20</f>
        <v/>
      </c>
      <c r="C6" s="15">
        <f>$F6*MIN(1,$B$3/16)</f>
        <v/>
      </c>
      <c r="D6" s="15">
        <f>B6-C6</f>
        <v/>
      </c>
      <c r="E6" s="39">
        <f>IF(C6=0,"",D6/C6)</f>
        <v/>
      </c>
      <c r="F6" s="15">
        <f>SUM(Players!$N$2:$N$193)/12</f>
        <v/>
      </c>
    </row>
    <row r="7">
      <c r="A7" s="29" t="inlineStr">
        <is>
          <t>PPP</t>
        </is>
      </c>
      <c r="B7" s="15">
        <f>'My team'!J20</f>
        <v/>
      </c>
      <c r="C7" s="15">
        <f>$F7*MIN(1,$B$3/16)</f>
        <v/>
      </c>
      <c r="D7" s="15">
        <f>B7-C7</f>
        <v/>
      </c>
      <c r="E7" s="39">
        <f>IF(C7=0,"",D7/C7)</f>
        <v/>
      </c>
      <c r="F7" s="15">
        <f>SUM(Players!$O$2:$O$193)/12</f>
        <v/>
      </c>
    </row>
    <row r="8">
      <c r="A8" s="29" t="inlineStr">
        <is>
          <t>SOG</t>
        </is>
      </c>
      <c r="B8" s="15">
        <f>'My team'!K20</f>
        <v/>
      </c>
      <c r="C8" s="15">
        <f>$F8*MIN(1,$B$3/16)</f>
        <v/>
      </c>
      <c r="D8" s="15">
        <f>B8-C8</f>
        <v/>
      </c>
      <c r="E8" s="39">
        <f>IF(C8=0,"",D8/C8)</f>
        <v/>
      </c>
      <c r="F8" s="15">
        <f>SUM(Players!$P$2:$P$193)/12</f>
        <v/>
      </c>
    </row>
    <row r="9">
      <c r="A9" s="29" t="inlineStr">
        <is>
          <t>HIT</t>
        </is>
      </c>
      <c r="B9" s="15">
        <f>'My team'!L20</f>
        <v/>
      </c>
      <c r="C9" s="15">
        <f>$F9*MIN(1,$B$3/16)</f>
        <v/>
      </c>
      <c r="D9" s="15">
        <f>B9-C9</f>
        <v/>
      </c>
      <c r="E9" s="39">
        <f>IF(C9=0,"",D9/C9)</f>
        <v/>
      </c>
      <c r="F9" s="15">
        <f>SUM(Players!$Q$2:$Q$193)/12</f>
        <v/>
      </c>
    </row>
    <row r="10">
      <c r="A10" s="29" t="inlineStr">
        <is>
          <t>BLK</t>
        </is>
      </c>
      <c r="B10" s="15">
        <f>'My team'!M20</f>
        <v/>
      </c>
      <c r="C10" s="15">
        <f>$F10*MIN(1,$B$3/16)</f>
        <v/>
      </c>
      <c r="D10" s="15">
        <f>B10-C10</f>
        <v/>
      </c>
      <c r="E10" s="39">
        <f>IF(C10=0,"",D10/C10)</f>
        <v/>
      </c>
      <c r="F10" s="15">
        <f>SUM(Players!$R$2:$R$193)/12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2026-08-20T03:17:25Z</dcterms:created>
  <dcterms:modified xsi:type="dcterms:W3CDTF">2026-08-20T03:17:25Z</dcterms:modified>
</cp:coreProperties>
</file>